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stt\YandexDisk\Авиа\SkyPup\Проект\"/>
    </mc:Choice>
  </mc:AlternateContent>
  <xr:revisionPtr revIDLastSave="0" documentId="13_ncr:1_{455269B4-2C71-4508-AB98-AC41AD89BF66}" xr6:coauthVersionLast="37" xr6:coauthVersionMax="37" xr10:uidLastSave="{00000000-0000-0000-0000-000000000000}"/>
  <bookViews>
    <workbookView xWindow="0" yWindow="0" windowWidth="23040" windowHeight="9060" xr2:uid="{39B1AB00-51A1-42B3-B24F-3E42DA10053C}"/>
  </bookViews>
  <sheets>
    <sheet name="Вводные+табл.1" sheetId="1" r:id="rId1"/>
    <sheet name="Для РАФ-6" sheetId="2" r:id="rId2"/>
    <sheet name="Геометрия" sheetId="11" r:id="rId3"/>
    <sheet name="РАФ-6_4град _Су" sheetId="6" r:id="rId4"/>
    <sheet name="РАФ-6_1 μ" sheetId="10" r:id="rId5"/>
  </sheets>
  <definedNames>
    <definedName name="_xlnm.Print_Area" localSheetId="0">'Вводные+табл.1'!$A$1:$E$29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1" l="1"/>
  <c r="H4" i="11"/>
  <c r="G4" i="11"/>
  <c r="F4" i="11"/>
  <c r="E4" i="11"/>
  <c r="D4" i="11"/>
  <c r="C4" i="11"/>
  <c r="B4" i="11"/>
  <c r="E9" i="1" l="1"/>
  <c r="E13" i="1"/>
  <c r="E20" i="1"/>
  <c r="C20" i="1"/>
  <c r="E7" i="1"/>
  <c r="C12" i="10" l="1"/>
  <c r="C13" i="10" l="1"/>
  <c r="C14" i="10" l="1"/>
  <c r="C15" i="10" s="1"/>
  <c r="D5" i="2"/>
  <c r="E14" i="10" s="1"/>
  <c r="C16" i="10" l="1"/>
  <c r="B11" i="6"/>
  <c r="C11" i="6" s="1"/>
  <c r="D7" i="2" s="1"/>
  <c r="C17" i="10" l="1"/>
  <c r="K5" i="2"/>
  <c r="J5" i="2"/>
  <c r="I5" i="2"/>
  <c r="H5" i="2"/>
  <c r="G5" i="2"/>
  <c r="F5" i="2"/>
  <c r="E5" i="2"/>
  <c r="D21" i="1"/>
  <c r="E12" i="1"/>
  <c r="D13" i="1"/>
  <c r="D9" i="1"/>
  <c r="D12" i="1" s="1"/>
  <c r="D7" i="1"/>
  <c r="C13" i="1"/>
  <c r="C9" i="1"/>
  <c r="C11" i="1" s="1"/>
  <c r="C7" i="1"/>
  <c r="C21" i="1"/>
  <c r="E21" i="1"/>
  <c r="D20" i="1"/>
  <c r="B20" i="1"/>
  <c r="B21" i="1"/>
  <c r="B13" i="1"/>
  <c r="B9" i="1"/>
  <c r="B11" i="1" s="1"/>
  <c r="B7" i="1"/>
  <c r="B17" i="6" l="1"/>
  <c r="C17" i="6" s="1"/>
  <c r="J7" i="2" s="1"/>
  <c r="E8" i="10"/>
  <c r="F8" i="10" s="1"/>
  <c r="J8" i="2" s="1"/>
  <c r="J9" i="2" s="1"/>
  <c r="B16" i="6"/>
  <c r="C16" i="6" s="1"/>
  <c r="I7" i="2" s="1"/>
  <c r="E9" i="10"/>
  <c r="F9" i="10" s="1"/>
  <c r="I8" i="2" s="1"/>
  <c r="I9" i="2" s="1"/>
  <c r="B15" i="6"/>
  <c r="C15" i="6" s="1"/>
  <c r="H7" i="2" s="1"/>
  <c r="E10" i="10"/>
  <c r="F10" i="10" s="1"/>
  <c r="H8" i="2" s="1"/>
  <c r="H9" i="2" s="1"/>
  <c r="C22" i="1"/>
  <c r="C23" i="1" s="1"/>
  <c r="C24" i="1" s="1"/>
  <c r="C25" i="1" s="1"/>
  <c r="C28" i="1" s="1"/>
  <c r="C12" i="1"/>
  <c r="B22" i="1"/>
  <c r="B23" i="1" s="1"/>
  <c r="B24" i="1" s="1"/>
  <c r="B25" i="1" s="1"/>
  <c r="B28" i="1" s="1"/>
  <c r="B18" i="6"/>
  <c r="C18" i="6" s="1"/>
  <c r="K7" i="2" s="1"/>
  <c r="E7" i="10"/>
  <c r="F7" i="10" s="1"/>
  <c r="K8" i="2" s="1"/>
  <c r="K9" i="2" s="1"/>
  <c r="B14" i="6"/>
  <c r="C14" i="6" s="1"/>
  <c r="G7" i="2" s="1"/>
  <c r="E11" i="10"/>
  <c r="B13" i="6"/>
  <c r="C13" i="6" s="1"/>
  <c r="F7" i="2" s="1"/>
  <c r="E12" i="10"/>
  <c r="B12" i="6"/>
  <c r="C12" i="6" s="1"/>
  <c r="E7" i="2" s="1"/>
  <c r="E13" i="10"/>
  <c r="C18" i="10"/>
  <c r="E11" i="1"/>
  <c r="D11" i="1"/>
  <c r="D22" i="1" s="1"/>
  <c r="D23" i="1" s="1"/>
  <c r="D24" i="1" s="1"/>
  <c r="B12" i="1"/>
  <c r="E22" i="1" l="1"/>
  <c r="E23" i="1" s="1"/>
  <c r="F11" i="10"/>
  <c r="G8" i="2" s="1"/>
  <c r="G9" i="2" s="1"/>
  <c r="D26" i="1"/>
  <c r="C29" i="1"/>
  <c r="C26" i="1"/>
  <c r="B29" i="1"/>
  <c r="B26" i="1"/>
  <c r="C19" i="10"/>
  <c r="D25" i="1"/>
  <c r="E24" i="1" l="1"/>
  <c r="E26" i="1"/>
  <c r="F12" i="10"/>
  <c r="F8" i="2" s="1"/>
  <c r="F9" i="2" s="1"/>
  <c r="D28" i="1"/>
  <c r="D29" i="1"/>
  <c r="F13" i="10"/>
  <c r="E8" i="2" s="1"/>
  <c r="E9" i="2" s="1"/>
  <c r="C20" i="10"/>
  <c r="E4" i="2" l="1"/>
  <c r="E11" i="2" s="1"/>
  <c r="D4" i="2"/>
  <c r="D11" i="2" s="1"/>
  <c r="H4" i="2"/>
  <c r="H11" i="2" s="1"/>
  <c r="F4" i="2"/>
  <c r="F11" i="2" s="1"/>
  <c r="E25" i="1"/>
  <c r="I4" i="2"/>
  <c r="I11" i="2" s="1"/>
  <c r="K4" i="2"/>
  <c r="K11" i="2" s="1"/>
  <c r="G4" i="2"/>
  <c r="G11" i="2" s="1"/>
  <c r="J4" i="2"/>
  <c r="J11" i="2" s="1"/>
  <c r="F14" i="10"/>
  <c r="D8" i="2" s="1"/>
  <c r="D9" i="2" s="1"/>
  <c r="E28" i="1" l="1"/>
  <c r="E29" i="1"/>
  <c r="E5" i="11"/>
  <c r="G10" i="2"/>
  <c r="G5" i="11"/>
  <c r="I10" i="2"/>
  <c r="D5" i="11"/>
  <c r="F10" i="2"/>
  <c r="H5" i="11"/>
  <c r="J10" i="2"/>
  <c r="K10" i="2"/>
  <c r="I5" i="11"/>
  <c r="F5" i="11"/>
  <c r="H10" i="2"/>
  <c r="D10" i="2"/>
  <c r="B5" i="11"/>
  <c r="C5" i="11"/>
  <c r="E10" i="2"/>
  <c r="E12" i="2" l="1"/>
  <c r="E13" i="2"/>
  <c r="B6" i="11"/>
  <c r="B7" i="11" s="1"/>
  <c r="D14" i="2"/>
  <c r="I12" i="2"/>
  <c r="I13" i="2"/>
  <c r="I14" i="2"/>
  <c r="G6" i="11"/>
  <c r="G7" i="11" s="1"/>
  <c r="F14" i="2"/>
  <c r="D6" i="11"/>
  <c r="D7" i="11" s="1"/>
  <c r="H12" i="2"/>
  <c r="H13" i="2"/>
  <c r="D12" i="2"/>
  <c r="D13" i="2"/>
  <c r="D17" i="2" s="1"/>
  <c r="I6" i="11"/>
  <c r="I7" i="11" s="1"/>
  <c r="K14" i="2"/>
  <c r="G12" i="2"/>
  <c r="G13" i="2"/>
  <c r="F12" i="2"/>
  <c r="F13" i="2"/>
  <c r="F6" i="11"/>
  <c r="F7" i="11" s="1"/>
  <c r="H14" i="2"/>
  <c r="G14" i="2"/>
  <c r="E6" i="11"/>
  <c r="E7" i="11" s="1"/>
  <c r="K12" i="2"/>
  <c r="K13" i="2"/>
  <c r="E14" i="2"/>
  <c r="C6" i="11"/>
  <c r="C7" i="11" s="1"/>
  <c r="J12" i="2"/>
  <c r="J13" i="2"/>
  <c r="H6" i="11"/>
  <c r="H7" i="11" s="1"/>
  <c r="J14" i="2"/>
  <c r="J15" i="2" s="1"/>
  <c r="F15" i="2" l="1"/>
  <c r="K15" i="2"/>
  <c r="E15" i="2"/>
  <c r="H16" i="2"/>
  <c r="H17" i="2"/>
  <c r="F8" i="11" s="1"/>
  <c r="F9" i="11" s="1"/>
  <c r="G16" i="2"/>
  <c r="G17" i="2"/>
  <c r="E8" i="11" s="1"/>
  <c r="I16" i="2"/>
  <c r="I17" i="2"/>
  <c r="G8" i="11" s="1"/>
  <c r="G15" i="2"/>
  <c r="I15" i="2"/>
  <c r="H15" i="2"/>
  <c r="J17" i="2"/>
  <c r="H8" i="11" s="1"/>
  <c r="J16" i="2"/>
  <c r="J18" i="2" s="1"/>
  <c r="F16" i="2"/>
  <c r="F17" i="2"/>
  <c r="D8" i="11" s="1"/>
  <c r="K17" i="2"/>
  <c r="I8" i="11" s="1"/>
  <c r="K16" i="2"/>
  <c r="E16" i="2"/>
  <c r="E17" i="2"/>
  <c r="C8" i="11" s="1"/>
  <c r="D16" i="2"/>
  <c r="B8" i="11"/>
  <c r="D15" i="2"/>
  <c r="F19" i="2" l="1"/>
  <c r="F18" i="2"/>
  <c r="E19" i="2"/>
  <c r="G19" i="2"/>
  <c r="G18" i="2"/>
  <c r="K18" i="2"/>
  <c r="K19" i="2"/>
  <c r="E18" i="2"/>
  <c r="I18" i="2"/>
  <c r="I19" i="2"/>
  <c r="H19" i="2"/>
  <c r="H18" i="2"/>
  <c r="D19" i="2"/>
  <c r="D18" i="2"/>
  <c r="J19" i="2"/>
  <c r="K20" i="2" l="1"/>
  <c r="I20" i="2"/>
  <c r="F20" i="2"/>
  <c r="J20" i="2"/>
  <c r="H20" i="2"/>
  <c r="D20" i="2"/>
  <c r="E20" i="2"/>
  <c r="G20" i="2"/>
  <c r="K21" i="2"/>
  <c r="D21" i="2"/>
  <c r="E21" i="2"/>
  <c r="J21" i="2"/>
  <c r="H21" i="2"/>
  <c r="G21" i="2"/>
  <c r="F21" i="2"/>
  <c r="I21" i="2"/>
</calcChain>
</file>

<file path=xl/sharedStrings.xml><?xml version="1.0" encoding="utf-8"?>
<sst xmlns="http://schemas.openxmlformats.org/spreadsheetml/2006/main" count="58" uniqueCount="43">
  <si>
    <t xml:space="preserve">Примечание </t>
  </si>
  <si>
    <t xml:space="preserve">Необходимо снизить значение </t>
  </si>
  <si>
    <t xml:space="preserve">Желаемое КПД винта </t>
  </si>
  <si>
    <t>Вычисляемая величина</t>
  </si>
  <si>
    <t>Профиль</t>
  </si>
  <si>
    <t>РАФ-6</t>
  </si>
  <si>
    <t xml:space="preserve">Мак. допустимая окружная скорость винта, </t>
  </si>
  <si>
    <t xml:space="preserve">Расчётная скорость отрыва самолёта, </t>
  </si>
  <si>
    <t xml:space="preserve">Вариант 1 при </t>
  </si>
  <si>
    <t xml:space="preserve">Вариант 2 при </t>
  </si>
  <si>
    <t>V(м/с) = V(км/ч) : 3,6</t>
  </si>
  <si>
    <t>Мощность двигателя, N (ватт) P (Вт) = 746 ⋅ P (л.с.)</t>
  </si>
  <si>
    <t xml:space="preserve">Критический радиус винта (м), </t>
  </si>
  <si>
    <t>Обороты двигателя, n (об в мин)</t>
  </si>
  <si>
    <t>α</t>
  </si>
  <si>
    <t>K</t>
  </si>
  <si>
    <t>м</t>
  </si>
  <si>
    <t>град</t>
  </si>
  <si>
    <t>рад</t>
  </si>
  <si>
    <t>м/с</t>
  </si>
  <si>
    <t>м2</t>
  </si>
  <si>
    <t>Н</t>
  </si>
  <si>
    <t>Вт</t>
  </si>
  <si>
    <t>Размерность</t>
  </si>
  <si>
    <t xml:space="preserve">Относительный радиус </t>
  </si>
  <si>
    <t>№ п/п</t>
  </si>
  <si>
    <t>Мощность двигателя, л.с</t>
  </si>
  <si>
    <t>X (Су)</t>
  </si>
  <si>
    <t xml:space="preserve">Y </t>
  </si>
  <si>
    <t>Исходные значения для построения графика. В расчётах не учавствуют</t>
  </si>
  <si>
    <r>
      <t>1/</t>
    </r>
    <r>
      <rPr>
        <sz val="11"/>
        <color theme="1"/>
        <rFont val="Calibri"/>
        <family val="2"/>
        <charset val="204"/>
      </rPr>
      <t>μ</t>
    </r>
  </si>
  <si>
    <r>
      <t xml:space="preserve">Критическая окружная скорость, </t>
    </r>
    <r>
      <rPr>
        <sz val="12"/>
        <color theme="1"/>
        <rFont val="Calibri"/>
        <family val="2"/>
        <charset val="204"/>
      </rPr>
      <t>&gt;</t>
    </r>
    <r>
      <rPr>
        <sz val="12"/>
        <color theme="1"/>
        <rFont val="Times New Roman"/>
        <family val="1"/>
        <charset val="204"/>
      </rPr>
      <t>250м/с</t>
    </r>
  </si>
  <si>
    <t xml:space="preserve">                                                              </t>
  </si>
  <si>
    <t>Геометрические данные, являющиеся исходными при изготовлении воздушного винта</t>
  </si>
  <si>
    <t xml:space="preserve">Относительные радиусы сечения </t>
  </si>
  <si>
    <t>Геометрические размеры сечения винта</t>
  </si>
  <si>
    <t>Радиус r, см.</t>
  </si>
  <si>
    <t>Хорда b, см.</t>
  </si>
  <si>
    <t>Угол установки ϕ, град.</t>
  </si>
  <si>
    <t>Толщина с, см. (                )</t>
  </si>
  <si>
    <t>Шаг винта, м. (Н)</t>
  </si>
  <si>
    <t>b ̅=0,08</t>
  </si>
  <si>
    <t xml:space="preserve">Относительная ширина лопасти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</si>
</sst>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i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F111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rgb="FF0F1115"/>
      <name val="Segoe UI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color rgb="FF0F1115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</font>
    <font>
      <sz val="11"/>
      <color theme="1"/>
      <name val="Cambria Math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3" xfId="0" applyFont="1" applyBorder="1"/>
    <xf numFmtId="0" fontId="5" fillId="0" borderId="1" xfId="0" applyFont="1" applyBorder="1" applyAlignment="1">
      <alignment horizontal="center" vertical="center"/>
    </xf>
    <xf numFmtId="0" fontId="3" fillId="0" borderId="4" xfId="0" applyFont="1" applyBorder="1"/>
    <xf numFmtId="165" fontId="5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6" fillId="0" borderId="4" xfId="0" applyFont="1" applyBorder="1"/>
    <xf numFmtId="1" fontId="5" fillId="0" borderId="1" xfId="0" applyNumberFormat="1" applyFont="1" applyBorder="1" applyAlignment="1">
      <alignment horizontal="center" vertical="center"/>
    </xf>
    <xf numFmtId="0" fontId="6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7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8" fillId="3" borderId="1" xfId="0" applyFont="1" applyFill="1" applyBorder="1" applyAlignment="1">
      <alignment horizontal="left" vertical="center" wrapText="1" indent="1"/>
    </xf>
    <xf numFmtId="16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/>
    <xf numFmtId="165" fontId="0" fillId="3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" fontId="0" fillId="0" borderId="1" xfId="0" applyNumberFormat="1" applyBorder="1"/>
    <xf numFmtId="164" fontId="0" fillId="0" borderId="1" xfId="0" applyNumberFormat="1" applyBorder="1"/>
    <xf numFmtId="1" fontId="0" fillId="0" borderId="1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2" fontId="0" fillId="0" borderId="0" xfId="0" applyNumberFormat="1"/>
    <xf numFmtId="0" fontId="14" fillId="0" borderId="0" xfId="0" applyFont="1"/>
    <xf numFmtId="0" fontId="6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1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РАФ-6 для</a:t>
            </a:r>
            <a:r>
              <a:rPr lang="ru-RU" baseline="0"/>
              <a:t> </a:t>
            </a:r>
            <a:r>
              <a:rPr lang="el-GR" baseline="0">
                <a:latin typeface="Calibri" panose="020F0502020204030204" pitchFamily="34" charset="0"/>
                <a:cs typeface="Calibri" panose="020F0502020204030204" pitchFamily="34" charset="0"/>
              </a:rPr>
              <a:t>α</a:t>
            </a:r>
            <a:r>
              <a:rPr lang="ru-RU" baseline="0">
                <a:latin typeface="Calibri" panose="020F0502020204030204" pitchFamily="34" charset="0"/>
                <a:cs typeface="Calibri" panose="020F0502020204030204" pitchFamily="34" charset="0"/>
              </a:rPr>
              <a:t>=4˚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forward val="2"/>
            <c:backward val="0.25"/>
            <c:dispRSqr val="0"/>
            <c:dispEq val="1"/>
            <c:trendlineLbl>
              <c:layout>
                <c:manualLayout>
                  <c:x val="-0.16516358988645979"/>
                  <c:y val="-2.025644770794881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ln>
                        <a:noFill/>
                      </a:ln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</c:trendlineLbl>
          </c:trendline>
          <c:xVal>
            <c:numRef>
              <c:f>'РАФ-6_4град _Су'!$B$3:$B$7</c:f>
              <c:numCache>
                <c:formatCode>General</c:formatCode>
                <c:ptCount val="5"/>
                <c:pt idx="0">
                  <c:v>0.73</c:v>
                </c:pt>
                <c:pt idx="1">
                  <c:v>0.81</c:v>
                </c:pt>
                <c:pt idx="2">
                  <c:v>0.89</c:v>
                </c:pt>
                <c:pt idx="3">
                  <c:v>0.98</c:v>
                </c:pt>
                <c:pt idx="4">
                  <c:v>1.0649999999999999</c:v>
                </c:pt>
              </c:numCache>
            </c:numRef>
          </c:xVal>
          <c:yVal>
            <c:numRef>
              <c:f>'РАФ-6_4град _Су'!$C$3:$C$7</c:f>
              <c:numCache>
                <c:formatCode>General</c:formatCode>
                <c:ptCount val="5"/>
                <c:pt idx="0">
                  <c:v>0.08</c:v>
                </c:pt>
                <c:pt idx="1">
                  <c:v>0.1</c:v>
                </c:pt>
                <c:pt idx="2">
                  <c:v>0.12</c:v>
                </c:pt>
                <c:pt idx="3">
                  <c:v>0.14000000000000001</c:v>
                </c:pt>
                <c:pt idx="4">
                  <c:v>0.16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54-41C8-9C00-D34CAAA60C3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897646672"/>
        <c:axId val="1470102624"/>
      </c:scatterChart>
      <c:valAx>
        <c:axId val="89764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Су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70102624"/>
        <c:crossesAt val="0"/>
        <c:crossBetween val="midCat"/>
        <c:minorUnit val="5.000000000000001E-2"/>
      </c:valAx>
      <c:valAx>
        <c:axId val="147010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Относительная толщина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97646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anchor="ctr" anchorCtr="0"/>
    <a:lstStyle/>
    <a:p>
      <a:pPr>
        <a:defRPr>
          <a:ln>
            <a:noFill/>
          </a:ln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0" i="0" baseline="0">
                <a:effectLst/>
              </a:rPr>
              <a:t>РАФ-6. </a:t>
            </a:r>
            <a:r>
              <a:rPr lang="el-GR" sz="1800" b="0" i="0" baseline="0">
                <a:effectLst/>
              </a:rPr>
              <a:t>α</a:t>
            </a:r>
            <a:r>
              <a:rPr lang="ru-RU" sz="1800" b="0" i="0" baseline="0">
                <a:effectLst/>
              </a:rPr>
              <a:t>=4˚</a:t>
            </a:r>
            <a:endParaRPr lang="ru-RU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3763447915489092E-2"/>
          <c:y val="0.12633440819570207"/>
          <c:w val="0.88832185878012149"/>
          <c:h val="0.75049627322309853"/>
        </c:manualLayout>
      </c:layout>
      <c:scatterChart>
        <c:scatterStyle val="smoothMarker"/>
        <c:varyColors val="0"/>
        <c:ser>
          <c:idx val="1"/>
          <c:order val="0"/>
          <c:spPr>
            <a:ln>
              <a:solidFill>
                <a:schemeClr val="tx1"/>
              </a:solidFill>
            </a:ln>
          </c:spP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'РАФ-6_1 μ'!$B$7:$B$20</c:f>
              <c:numCache>
                <c:formatCode>General</c:formatCode>
                <c:ptCount val="14"/>
                <c:pt idx="0">
                  <c:v>0.08</c:v>
                </c:pt>
                <c:pt idx="1">
                  <c:v>0.1</c:v>
                </c:pt>
                <c:pt idx="2">
                  <c:v>0.12</c:v>
                </c:pt>
                <c:pt idx="3">
                  <c:v>0.14000000000000001</c:v>
                </c:pt>
                <c:pt idx="4">
                  <c:v>0.16</c:v>
                </c:pt>
                <c:pt idx="5">
                  <c:v>0.18</c:v>
                </c:pt>
                <c:pt idx="6">
                  <c:v>0.2</c:v>
                </c:pt>
                <c:pt idx="7">
                  <c:v>0.22</c:v>
                </c:pt>
                <c:pt idx="8">
                  <c:v>0.24</c:v>
                </c:pt>
                <c:pt idx="9">
                  <c:v>0.26</c:v>
                </c:pt>
                <c:pt idx="10">
                  <c:v>0.28000000000000003</c:v>
                </c:pt>
                <c:pt idx="11">
                  <c:v>0.3</c:v>
                </c:pt>
                <c:pt idx="12">
                  <c:v>0.32</c:v>
                </c:pt>
                <c:pt idx="13">
                  <c:v>0.34</c:v>
                </c:pt>
              </c:numCache>
            </c:numRef>
          </c:xVal>
          <c:yVal>
            <c:numRef>
              <c:f>'РАФ-6_1 μ'!$C$7:$C$20</c:f>
              <c:numCache>
                <c:formatCode>General</c:formatCode>
                <c:ptCount val="14"/>
                <c:pt idx="0">
                  <c:v>61.5</c:v>
                </c:pt>
                <c:pt idx="1">
                  <c:v>64</c:v>
                </c:pt>
                <c:pt idx="2">
                  <c:v>60.4</c:v>
                </c:pt>
                <c:pt idx="3">
                  <c:v>57.2</c:v>
                </c:pt>
                <c:pt idx="4">
                  <c:v>52.7</c:v>
                </c:pt>
                <c:pt idx="5" formatCode="0.0">
                  <c:v>49.066666666666677</c:v>
                </c:pt>
                <c:pt idx="6" formatCode="0.0">
                  <c:v>44.855555555555569</c:v>
                </c:pt>
                <c:pt idx="7" formatCode="0.0">
                  <c:v>41.029629629629667</c:v>
                </c:pt>
                <c:pt idx="8" formatCode="0.0">
                  <c:v>36.946913580246964</c:v>
                </c:pt>
                <c:pt idx="9" formatCode="0.0">
                  <c:v>33.035390946502119</c:v>
                </c:pt>
                <c:pt idx="10" formatCode="0.0">
                  <c:v>29.009739368998687</c:v>
                </c:pt>
                <c:pt idx="11" formatCode="0.0">
                  <c:v>25.060173754000985</c:v>
                </c:pt>
                <c:pt idx="12" formatCode="0.0">
                  <c:v>21.059884163999456</c:v>
                </c:pt>
                <c:pt idx="13" formatCode="0.0">
                  <c:v>17.093410557333812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ADC-48BA-ABCF-EBDA7E11FAD3}"/>
            </c:ext>
          </c:extLst>
        </c:ser>
        <c:ser>
          <c:idx val="0"/>
          <c:order val="1"/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r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1"/>
            <c:trendlineLbl>
              <c:layout>
                <c:manualLayout>
                  <c:x val="0.47154576247545171"/>
                  <c:y val="-0.1307315476570055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</c:trendlineLbl>
          </c:trendline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ADC-48BA-ABCF-EBDA7E11F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16640"/>
        <c:axId val="1872940592"/>
      </c:scatterChart>
      <c:valAx>
        <c:axId val="55116640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200" b="0" i="0" baseline="0">
                    <a:effectLst/>
                  </a:rPr>
                  <a:t>Относительная толщина </a:t>
                </a:r>
                <a:endParaRPr lang="ru-RU" sz="12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122102474387464"/>
              <c:y val="0.9263903225670889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in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872940592"/>
        <c:crosses val="autoZero"/>
        <c:crossBetween val="midCat"/>
        <c:minorUnit val="5.000000000000001E-3"/>
      </c:valAx>
      <c:valAx>
        <c:axId val="187294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400" b="0" i="0" baseline="0">
                    <a:effectLst/>
                  </a:rPr>
                  <a:t>1/</a:t>
                </a:r>
                <a:r>
                  <a:rPr lang="el-GR" sz="1400" b="0" i="0" baseline="0">
                    <a:effectLst/>
                  </a:rPr>
                  <a:t>μ</a:t>
                </a:r>
                <a:endParaRPr lang="ru-RU" sz="14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in"/>
        <c:tickLblPos val="nextTo"/>
        <c:spPr>
          <a:noFill/>
          <a:ln w="12700" cap="flat" cmpd="sng" algn="ctr">
            <a:solidFill>
              <a:schemeClr val="tx1"/>
            </a:solidFill>
            <a:round/>
            <a:headEnd type="none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5116640"/>
        <c:crosses val="autoZero"/>
        <c:crossBetween val="midCat"/>
        <c:minorUnit val="1"/>
      </c:valAx>
      <c:spPr>
        <a:noFill/>
        <a:ln>
          <a:solidFill>
            <a:schemeClr val="tx1"/>
          </a:solidFill>
        </a:ln>
        <a:effectLst/>
      </c:spPr>
    </c:plotArea>
    <c:plotVisOnly val="0"/>
    <c:dispBlanksAs val="gap"/>
    <c:showDLblsOverMax val="0"/>
    <c:extLst/>
  </c:chart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</xdr:colOff>
      <xdr:row>19</xdr:row>
      <xdr:rowOff>30480</xdr:rowOff>
    </xdr:from>
    <xdr:ext cx="1043940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D52D2C5-D188-4F4C-B287-56F64621EA6E}"/>
                </a:ext>
              </a:extLst>
            </xdr:cNvPr>
            <xdr:cNvSpPr txBox="1"/>
          </xdr:nvSpPr>
          <xdr:spPr>
            <a:xfrm>
              <a:off x="7620" y="762000"/>
              <a:ext cx="104394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2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ос</m:t>
                        </m:r>
                      </m:sub>
                    </m:sSub>
                    <m:r>
                      <a:rPr lang="ru-RU" sz="1200" b="0" i="0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  <m:r>
                      <a:rPr lang="ru-RU" sz="1200" b="0" i="1">
                        <a:latin typeface="Cambria Math" panose="02040503050406030204" pitchFamily="18" charset="0"/>
                      </a:rPr>
                      <m:t>/0,85</m:t>
                    </m:r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D52D2C5-D188-4F4C-B287-56F64621EA6E}"/>
                </a:ext>
              </a:extLst>
            </xdr:cNvPr>
            <xdr:cNvSpPr txBox="1"/>
          </xdr:nvSpPr>
          <xdr:spPr>
            <a:xfrm>
              <a:off x="7620" y="762000"/>
              <a:ext cx="104394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200" b="0" i="0">
                  <a:latin typeface="Cambria Math" panose="02040503050406030204" pitchFamily="18" charset="0"/>
                </a:rPr>
                <a:t>ос=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200" b="0" i="0">
                  <a:latin typeface="Cambria Math" panose="02040503050406030204" pitchFamily="18" charset="0"/>
                </a:rPr>
                <a:t>ж/0,85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0</xdr:col>
      <xdr:colOff>0</xdr:colOff>
      <xdr:row>20</xdr:row>
      <xdr:rowOff>30480</xdr:rowOff>
    </xdr:from>
    <xdr:ext cx="1563248" cy="1910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0485673-B68D-4B77-BF33-14629AE93FD4}"/>
                </a:ext>
              </a:extLst>
            </xdr:cNvPr>
            <xdr:cNvSpPr txBox="1"/>
          </xdr:nvSpPr>
          <xdr:spPr>
            <a:xfrm>
              <a:off x="0" y="4198620"/>
              <a:ext cx="1563248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=4</m:t>
                    </m:r>
                    <m:d>
                      <m:d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d>
                          <m:dPr>
                            <m:ctrlPr>
                              <a:rPr lang="ru-RU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1/</m:t>
                            </m:r>
                            <m:sSubSup>
                              <m:sSubSupPr>
                                <m:ctrlP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𝜂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ос</m:t>
                                </m:r>
                              </m:sub>
                              <m:sup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e>
                        </m:d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d>
                          <m:dPr>
                            <m:ctrlPr>
                              <a:rPr lang="ru-RU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1/</m:t>
                            </m:r>
                            <m:sSub>
                              <m:sSubPr>
                                <m:ctrlP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𝜂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</a:rPr>
                                  <m:t>ос</m:t>
                                </m:r>
                              </m:sub>
                            </m:sSub>
                          </m:e>
                        </m:d>
                      </m:e>
                    </m: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0485673-B68D-4B77-BF33-14629AE93FD4}"/>
                </a:ext>
              </a:extLst>
            </xdr:cNvPr>
            <xdr:cNvSpPr txBox="1"/>
          </xdr:nvSpPr>
          <xdr:spPr>
            <a:xfrm>
              <a:off x="0" y="4198620"/>
              <a:ext cx="1563248" cy="19107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𝐵</a:t>
              </a:r>
              <a:r>
                <a:rPr lang="ru-RU" sz="1100" b="0" i="0">
                  <a:latin typeface="Cambria Math" panose="02040503050406030204" pitchFamily="18" charset="0"/>
                </a:rPr>
                <a:t>=4((1/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ос^2 )−(1/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ос 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21</xdr:row>
      <xdr:rowOff>38100</xdr:rowOff>
    </xdr:from>
    <xdr:ext cx="77072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3B7BB92D-72CB-42F0-AB32-A2910277FCC6}"/>
                </a:ext>
              </a:extLst>
            </xdr:cNvPr>
            <xdr:cNvSpPr txBox="1"/>
          </xdr:nvSpPr>
          <xdr:spPr>
            <a:xfrm>
              <a:off x="0" y="4457700"/>
              <a:ext cx="77072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𝑁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/</m:t>
                    </m:r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3B7BB92D-72CB-42F0-AB32-A2910277FCC6}"/>
                </a:ext>
              </a:extLst>
            </xdr:cNvPr>
            <xdr:cNvSpPr txBox="1"/>
          </xdr:nvSpPr>
          <xdr:spPr>
            <a:xfrm>
              <a:off x="0" y="4457700"/>
              <a:ext cx="77072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𝑃=𝑁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ж/</a:t>
              </a:r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0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38100</xdr:colOff>
      <xdr:row>22</xdr:row>
      <xdr:rowOff>45720</xdr:rowOff>
    </xdr:from>
    <xdr:ext cx="987450" cy="177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2992B9B0-C4EE-4133-9566-FFE9BD58C3E1}"/>
                </a:ext>
              </a:extLst>
            </xdr:cNvPr>
            <xdr:cNvSpPr txBox="1"/>
          </xdr:nvSpPr>
          <xdr:spPr>
            <a:xfrm>
              <a:off x="38100" y="4716780"/>
              <a:ext cx="987450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ом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</a:rPr>
                      <m:t>=2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0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2992B9B0-C4EE-4133-9566-FFE9BD58C3E1}"/>
                </a:ext>
              </a:extLst>
            </xdr:cNvPr>
            <xdr:cNvSpPr txBox="1"/>
          </xdr:nvSpPr>
          <xdr:spPr>
            <a:xfrm>
              <a:off x="38100" y="4716780"/>
              <a:ext cx="987450" cy="1779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𝑆</a:t>
              </a:r>
              <a:r>
                <a:rPr lang="ru-RU" sz="1100" b="0" i="0">
                  <a:latin typeface="Cambria Math" panose="02040503050406030204" pitchFamily="18" charset="0"/>
                </a:rPr>
                <a:t>_ом=2</a:t>
              </a:r>
              <a:r>
                <a:rPr lang="en-US" sz="1100" b="0" i="0">
                  <a:latin typeface="Cambria Math" panose="02040503050406030204" pitchFamily="18" charset="0"/>
                </a:rPr>
                <a:t>𝑃/𝐵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𝜌𝑉_0^2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23</xdr:row>
      <xdr:rowOff>22860</xdr:rowOff>
    </xdr:from>
    <xdr:ext cx="768415" cy="2049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1E6CB6D7-BDE1-40C5-803E-4A0E4E5E9C6B}"/>
                </a:ext>
              </a:extLst>
            </xdr:cNvPr>
            <xdr:cNvSpPr txBox="1"/>
          </xdr:nvSpPr>
          <xdr:spPr>
            <a:xfrm>
              <a:off x="0" y="1485900"/>
              <a:ext cx="768415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𝑅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𝑆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ом</m:t>
                            </m:r>
                          </m:sub>
                        </m:s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1E6CB6D7-BDE1-40C5-803E-4A0E4E5E9C6B}"/>
                </a:ext>
              </a:extLst>
            </xdr:cNvPr>
            <xdr:cNvSpPr txBox="1"/>
          </xdr:nvSpPr>
          <xdr:spPr>
            <a:xfrm>
              <a:off x="0" y="1485900"/>
              <a:ext cx="768415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𝑅=√(𝑆_</a:t>
              </a:r>
              <a:r>
                <a:rPr lang="ru-RU" sz="1100" b="0" i="0">
                  <a:latin typeface="Cambria Math" panose="02040503050406030204" pitchFamily="18" charset="0"/>
                </a:rPr>
                <a:t>ом/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30480</xdr:colOff>
      <xdr:row>24</xdr:row>
      <xdr:rowOff>45720</xdr:rowOff>
    </xdr:from>
    <xdr:ext cx="48994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9959297-6CA9-426B-A559-F904CC15A3D5}"/>
                </a:ext>
              </a:extLst>
            </xdr:cNvPr>
            <xdr:cNvSpPr txBox="1"/>
          </xdr:nvSpPr>
          <xdr:spPr>
            <a:xfrm>
              <a:off x="30480" y="2034540"/>
              <a:ext cx="48994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𝑢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𝑅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F9959297-6CA9-426B-A559-F904CC15A3D5}"/>
                </a:ext>
              </a:extLst>
            </xdr:cNvPr>
            <xdr:cNvSpPr txBox="1"/>
          </xdr:nvSpPr>
          <xdr:spPr>
            <a:xfrm>
              <a:off x="30480" y="2034540"/>
              <a:ext cx="48994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𝑢=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2179320</xdr:colOff>
      <xdr:row>28</xdr:row>
      <xdr:rowOff>30480</xdr:rowOff>
    </xdr:from>
    <xdr:ext cx="1851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8C66A16-B3DF-48A6-B884-3B242FA6FADD}"/>
                </a:ext>
              </a:extLst>
            </xdr:cNvPr>
            <xdr:cNvSpPr txBox="1"/>
          </xdr:nvSpPr>
          <xdr:spPr>
            <a:xfrm>
              <a:off x="2179320" y="520446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8C66A16-B3DF-48A6-B884-3B242FA6FADD}"/>
                </a:ext>
              </a:extLst>
            </xdr:cNvPr>
            <xdr:cNvSpPr txBox="1"/>
          </xdr:nvSpPr>
          <xdr:spPr>
            <a:xfrm>
              <a:off x="2179320" y="520446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4</xdr:col>
      <xdr:colOff>114300</xdr:colOff>
      <xdr:row>17</xdr:row>
      <xdr:rowOff>30480</xdr:rowOff>
    </xdr:from>
    <xdr:ext cx="1851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38A7E563-40B5-434F-B9CF-5EABBD30864C}"/>
                </a:ext>
              </a:extLst>
            </xdr:cNvPr>
            <xdr:cNvSpPr txBox="1"/>
          </xdr:nvSpPr>
          <xdr:spPr>
            <a:xfrm>
              <a:off x="4998720" y="39624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ж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38A7E563-40B5-434F-B9CF-5EABBD30864C}"/>
                </a:ext>
              </a:extLst>
            </xdr:cNvPr>
            <xdr:cNvSpPr txBox="1"/>
          </xdr:nvSpPr>
          <xdr:spPr>
            <a:xfrm>
              <a:off x="4998720" y="396240"/>
              <a:ext cx="1851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ru-RU" sz="1100" b="0" i="0">
                  <a:latin typeface="Cambria Math" panose="02040503050406030204" pitchFamily="18" charset="0"/>
                </a:rPr>
                <a:t>ж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2933700</xdr:colOff>
      <xdr:row>4</xdr:row>
      <xdr:rowOff>53340</xdr:rowOff>
    </xdr:from>
    <xdr:ext cx="29860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995AE45E-6A24-4D9F-BE61-FD44949751CA}"/>
                </a:ext>
              </a:extLst>
            </xdr:cNvPr>
            <xdr:cNvSpPr txBox="1"/>
          </xdr:nvSpPr>
          <xdr:spPr>
            <a:xfrm>
              <a:off x="2933700" y="746760"/>
              <a:ext cx="29860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к. гр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995AE45E-6A24-4D9F-BE61-FD44949751CA}"/>
                </a:ext>
              </a:extLst>
            </xdr:cNvPr>
            <xdr:cNvSpPr txBox="1"/>
          </xdr:nvSpPr>
          <xdr:spPr>
            <a:xfrm>
              <a:off x="2933700" y="746760"/>
              <a:ext cx="29860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𝑢</a:t>
              </a:r>
              <a:r>
                <a:rPr lang="ru-RU" sz="1100" b="0" i="0">
                  <a:latin typeface="Cambria Math" panose="02040503050406030204" pitchFamily="18" charset="0"/>
                </a:rPr>
                <a:t>_(к. гр)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2545080</xdr:colOff>
      <xdr:row>8</xdr:row>
      <xdr:rowOff>76200</xdr:rowOff>
    </xdr:from>
    <xdr:ext cx="631776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C8DE4A3-831C-437B-9404-00AD4D479104}"/>
                </a:ext>
              </a:extLst>
            </xdr:cNvPr>
            <xdr:cNvSpPr txBox="1"/>
          </xdr:nvSpPr>
          <xdr:spPr>
            <a:xfrm>
              <a:off x="2545080" y="1272540"/>
              <a:ext cx="631776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отр</m:t>
                      </m:r>
                    </m:sub>
                  </m:sSub>
                  <m:r>
                    <a:rPr lang="ru-RU" sz="1100" b="0" i="1">
                      <a:latin typeface="Cambria Math" panose="02040503050406030204" pitchFamily="18" charset="0"/>
                    </a:rPr>
                    <m:t> </m:t>
                  </m:r>
                  <m:d>
                    <m:dPr>
                      <m:ctrlPr>
                        <a:rPr lang="ru-RU" sz="1100" b="0" i="1">
                          <a:latin typeface="Cambria Math" panose="02040503050406030204" pitchFamily="18" charset="0"/>
                        </a:rPr>
                      </m:ctrlPr>
                    </m:dPr>
                    <m:e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м/с</m:t>
                      </m:r>
                    </m:e>
                  </m:d>
                </m:oMath>
              </a14:m>
              <a:r>
                <a:rPr lang="ru-RU" sz="1100"/>
                <a:t> </a:t>
              </a:r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C8DE4A3-831C-437B-9404-00AD4D479104}"/>
                </a:ext>
              </a:extLst>
            </xdr:cNvPr>
            <xdr:cNvSpPr txBox="1"/>
          </xdr:nvSpPr>
          <xdr:spPr>
            <a:xfrm>
              <a:off x="2545080" y="1272540"/>
              <a:ext cx="631776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_отр  (м/с)</a:t>
              </a:r>
              <a:r>
                <a:rPr lang="ru-RU" sz="1100"/>
                <a:t> </a:t>
              </a:r>
            </a:p>
          </xdr:txBody>
        </xdr:sp>
      </mc:Fallback>
    </mc:AlternateContent>
    <xdr:clientData/>
  </xdr:oneCellAnchor>
  <xdr:oneCellAnchor>
    <xdr:from>
      <xdr:col>0</xdr:col>
      <xdr:colOff>1089660</xdr:colOff>
      <xdr:row>10</xdr:row>
      <xdr:rowOff>60960</xdr:rowOff>
    </xdr:from>
    <xdr:ext cx="782265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3E84E2-6491-4974-BBA6-81009C6DC2A4}"/>
                </a:ext>
              </a:extLst>
            </xdr:cNvPr>
            <xdr:cNvSpPr txBox="1"/>
          </xdr:nvSpPr>
          <xdr:spPr>
            <a:xfrm>
              <a:off x="1089660" y="1508760"/>
              <a:ext cx="782265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0 </m:t>
                        </m:r>
                      </m:sub>
                    </m:sSub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≈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1,2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отр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3E84E2-6491-4974-BBA6-81009C6DC2A4}"/>
                </a:ext>
              </a:extLst>
            </xdr:cNvPr>
            <xdr:cNvSpPr txBox="1"/>
          </xdr:nvSpPr>
          <xdr:spPr>
            <a:xfrm>
              <a:off x="1089660" y="1508760"/>
              <a:ext cx="782265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_(</a:t>
              </a:r>
              <a:r>
                <a:rPr lang="en-US" sz="1100" b="0" i="0">
                  <a:latin typeface="Cambria Math" panose="02040503050406030204" pitchFamily="18" charset="0"/>
                </a:rPr>
                <a:t>0 </a:t>
              </a:r>
              <a:r>
                <a:rPr lang="ru-RU" sz="1100" b="0" i="0">
                  <a:latin typeface="Cambria Math" panose="02040503050406030204" pitchFamily="18" charset="0"/>
                </a:rPr>
                <a:t>)</a:t>
              </a:r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≈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1,2𝑉_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отр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1104900</xdr:colOff>
      <xdr:row>11</xdr:row>
      <xdr:rowOff>60960</xdr:rowOff>
    </xdr:from>
    <xdr:ext cx="100841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9D94B9B0-E8D2-4F9A-AB19-656CBB17EB2C}"/>
                </a:ext>
              </a:extLst>
            </xdr:cNvPr>
            <xdr:cNvSpPr txBox="1"/>
          </xdr:nvSpPr>
          <xdr:spPr>
            <a:xfrm>
              <a:off x="1104900" y="2766060"/>
              <a:ext cx="100841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крейсерская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9D94B9B0-E8D2-4F9A-AB19-656CBB17EB2C}"/>
                </a:ext>
              </a:extLst>
            </xdr:cNvPr>
            <xdr:cNvSpPr txBox="1"/>
          </xdr:nvSpPr>
          <xdr:spPr>
            <a:xfrm>
              <a:off x="1104900" y="2766060"/>
              <a:ext cx="100841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0=𝑉_</a:t>
              </a:r>
              <a:r>
                <a:rPr lang="ru-RU" sz="1100" b="0" i="0">
                  <a:latin typeface="Cambria Math" panose="02040503050406030204" pitchFamily="18" charset="0"/>
                </a:rPr>
                <a:t>крейсерская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15240</xdr:colOff>
      <xdr:row>12</xdr:row>
      <xdr:rowOff>60960</xdr:rowOff>
    </xdr:from>
    <xdr:ext cx="24471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88E8C977-BBCD-46FC-A1E6-4A663634723D}"/>
                </a:ext>
              </a:extLst>
            </xdr:cNvPr>
            <xdr:cNvSpPr txBox="1"/>
          </xdr:nvSpPr>
          <xdr:spPr>
            <a:xfrm>
              <a:off x="15240" y="2263140"/>
              <a:ext cx="24471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d>
                      <m:d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1/с</m:t>
                        </m:r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d>
                      <m:d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обороты в мин.</m:t>
                        </m:r>
                      </m:e>
                    </m:d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х 0,1047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88E8C977-BBCD-46FC-A1E6-4A663634723D}"/>
                </a:ext>
              </a:extLst>
            </xdr:cNvPr>
            <xdr:cNvSpPr txBox="1"/>
          </xdr:nvSpPr>
          <xdr:spPr>
            <a:xfrm>
              <a:off x="15240" y="2263140"/>
              <a:ext cx="24471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(1/с)=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𝑛(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обороты в мин.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 х 0,1047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15240</xdr:colOff>
      <xdr:row>13</xdr:row>
      <xdr:rowOff>45720</xdr:rowOff>
    </xdr:from>
    <xdr:ext cx="198586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E7B4EE-FF77-4605-992B-571F710DDB4E}"/>
                </a:ext>
              </a:extLst>
            </xdr:cNvPr>
            <xdr:cNvSpPr txBox="1"/>
          </xdr:nvSpPr>
          <xdr:spPr>
            <a:xfrm>
              <a:off x="15240" y="2499360"/>
              <a:ext cx="19858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b="0" i="1">
                        <a:latin typeface="Cambria Math" panose="02040503050406030204" pitchFamily="18" charset="0"/>
                      </a:rPr>
                      <m:t>Плотность воздуха, 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=1,2237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E7B4EE-FF77-4605-992B-571F710DDB4E}"/>
                </a:ext>
              </a:extLst>
            </xdr:cNvPr>
            <xdr:cNvSpPr txBox="1"/>
          </xdr:nvSpPr>
          <xdr:spPr>
            <a:xfrm>
              <a:off x="15240" y="2499360"/>
              <a:ext cx="198586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b="0" i="0">
                  <a:latin typeface="Cambria Math" panose="02040503050406030204" pitchFamily="18" charset="0"/>
                </a:rPr>
                <a:t>Плотность воздуха, 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𝜌=1,2237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2125980</xdr:colOff>
      <xdr:row>3</xdr:row>
      <xdr:rowOff>53340</xdr:rowOff>
    </xdr:from>
    <xdr:ext cx="351378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6DBAF048-0A28-486F-844A-8585EF34F6D3}"/>
                </a:ext>
              </a:extLst>
            </xdr:cNvPr>
            <xdr:cNvSpPr txBox="1"/>
          </xdr:nvSpPr>
          <xdr:spPr>
            <a:xfrm>
              <a:off x="2125980" y="746760"/>
              <a:ext cx="35137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крит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6DBAF048-0A28-486F-844A-8585EF34F6D3}"/>
                </a:ext>
              </a:extLst>
            </xdr:cNvPr>
            <xdr:cNvSpPr txBox="1"/>
          </xdr:nvSpPr>
          <xdr:spPr>
            <a:xfrm>
              <a:off x="2125980" y="746760"/>
              <a:ext cx="351378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𝑅</a:t>
              </a:r>
              <a:r>
                <a:rPr lang="ru-RU" sz="1100" b="0" i="0">
                  <a:latin typeface="Cambria Math" panose="02040503050406030204" pitchFamily="18" charset="0"/>
                </a:rPr>
                <a:t>_крит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38100</xdr:colOff>
      <xdr:row>25</xdr:row>
      <xdr:rowOff>22860</xdr:rowOff>
    </xdr:from>
    <xdr:ext cx="1915781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72E619C-EEDB-43CF-AA43-8037457C168E}"/>
                </a:ext>
              </a:extLst>
            </xdr:cNvPr>
            <xdr:cNvSpPr txBox="1"/>
          </xdr:nvSpPr>
          <xdr:spPr>
            <a:xfrm>
              <a:off x="38100" y="5448300"/>
              <a:ext cx="1915781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=(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+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0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+4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𝑃</m:t>
                        </m:r>
                        <m:d>
                          <m:d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𝜌</m:t>
                            </m:r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𝑆</m:t>
                                </m:r>
                              </m:e>
                              <m:sub>
                                <m:r>
                                  <a:rPr lang="ru-RU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ом</m:t>
                                </m:r>
                              </m:sub>
                            </m:sSub>
                          </m:e>
                        </m:d>
                      </m:e>
                    </m:rad>
                    <m:r>
                      <a:rPr lang="ru-RU" sz="1100" b="0" i="1">
                        <a:latin typeface="Cambria Math" panose="02040503050406030204" pitchFamily="18" charset="0"/>
                      </a:rPr>
                      <m:t>)/2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372E619C-EEDB-43CF-AA43-8037457C168E}"/>
                </a:ext>
              </a:extLst>
            </xdr:cNvPr>
            <xdr:cNvSpPr txBox="1"/>
          </xdr:nvSpPr>
          <xdr:spPr>
            <a:xfrm>
              <a:off x="38100" y="5448300"/>
              <a:ext cx="1915781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1=(𝑉_0+√(𝑉_0^2+4𝑃(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𝜌𝑆_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ом )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)</a:t>
              </a:r>
              <a:r>
                <a:rPr lang="ru-RU" sz="1100" b="0" i="0">
                  <a:latin typeface="Cambria Math" panose="02040503050406030204" pitchFamily="18" charset="0"/>
                </a:rPr>
                <a:t>)/2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2545080</xdr:colOff>
      <xdr:row>7</xdr:row>
      <xdr:rowOff>76200</xdr:rowOff>
    </xdr:from>
    <xdr:ext cx="720647" cy="1847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F006776-2D9D-4D13-A032-7B64441FFF9B}"/>
                </a:ext>
              </a:extLst>
            </xdr:cNvPr>
            <xdr:cNvSpPr txBox="1"/>
          </xdr:nvSpPr>
          <xdr:spPr>
            <a:xfrm>
              <a:off x="2545080" y="1775460"/>
              <a:ext cx="720647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𝑉</m:t>
                      </m:r>
                    </m:e>
                    <m:sub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отр</m:t>
                      </m:r>
                    </m:sub>
                  </m:sSub>
                  <m:r>
                    <a:rPr lang="ru-RU" sz="1100" b="0" i="1">
                      <a:latin typeface="Cambria Math" panose="02040503050406030204" pitchFamily="18" charset="0"/>
                    </a:rPr>
                    <m:t> </m:t>
                  </m:r>
                  <m:d>
                    <m:dPr>
                      <m:ctrlPr>
                        <a:rPr lang="ru-RU" sz="1100" b="0" i="1">
                          <a:latin typeface="Cambria Math" panose="02040503050406030204" pitchFamily="18" charset="0"/>
                        </a:rPr>
                      </m:ctrlPr>
                    </m:dPr>
                    <m:e>
                      <m:r>
                        <a:rPr lang="ru-RU" sz="1100" b="0" i="1">
                          <a:latin typeface="Cambria Math" panose="02040503050406030204" pitchFamily="18" charset="0"/>
                        </a:rPr>
                        <m:t>км/ч</m:t>
                      </m:r>
                    </m:e>
                  </m:d>
                </m:oMath>
              </a14:m>
              <a:r>
                <a:rPr lang="ru-RU" sz="1100"/>
                <a:t> </a:t>
              </a:r>
            </a:p>
          </xdr:txBody>
        </xdr:sp>
      </mc:Choice>
      <mc:Fallback xmlns="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F006776-2D9D-4D13-A032-7B64441FFF9B}"/>
                </a:ext>
              </a:extLst>
            </xdr:cNvPr>
            <xdr:cNvSpPr txBox="1"/>
          </xdr:nvSpPr>
          <xdr:spPr>
            <a:xfrm>
              <a:off x="2545080" y="1775460"/>
              <a:ext cx="720647" cy="18473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𝑉</a:t>
              </a:r>
              <a:r>
                <a:rPr lang="ru-RU" sz="1100" b="0" i="0">
                  <a:latin typeface="Cambria Math" panose="02040503050406030204" pitchFamily="18" charset="0"/>
                </a:rPr>
                <a:t>_отр  (км/ч)</a:t>
              </a:r>
              <a:r>
                <a:rPr lang="ru-RU" sz="1100"/>
                <a:t> </a:t>
              </a:r>
            </a:p>
          </xdr:txBody>
        </xdr:sp>
      </mc:Fallback>
    </mc:AlternateContent>
    <xdr:clientData/>
  </xdr:oneCellAnchor>
  <xdr:oneCellAnchor>
    <xdr:from>
      <xdr:col>0</xdr:col>
      <xdr:colOff>2509520</xdr:colOff>
      <xdr:row>14</xdr:row>
      <xdr:rowOff>45720</xdr:rowOff>
    </xdr:from>
    <xdr:ext cx="110991" cy="1796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6C6B6C-36F7-4851-9726-BEB4E71640B0}"/>
                </a:ext>
              </a:extLst>
            </xdr:cNvPr>
            <xdr:cNvSpPr txBox="1"/>
          </xdr:nvSpPr>
          <xdr:spPr>
            <a:xfrm>
              <a:off x="2509520" y="3540760"/>
              <a:ext cx="110991" cy="1796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𝑏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6C6B6C-36F7-4851-9726-BEB4E71640B0}"/>
                </a:ext>
              </a:extLst>
            </xdr:cNvPr>
            <xdr:cNvSpPr txBox="1"/>
          </xdr:nvSpPr>
          <xdr:spPr>
            <a:xfrm>
              <a:off x="2509520" y="3540760"/>
              <a:ext cx="110991" cy="1796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𝑏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60960</xdr:colOff>
      <xdr:row>3</xdr:row>
      <xdr:rowOff>30480</xdr:rowOff>
    </xdr:from>
    <xdr:ext cx="44993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3ED0140-3442-4F26-B567-30DC76C82E6F}"/>
                </a:ext>
              </a:extLst>
            </xdr:cNvPr>
            <xdr:cNvSpPr txBox="1"/>
          </xdr:nvSpPr>
          <xdr:spPr>
            <a:xfrm>
              <a:off x="563880" y="579120"/>
              <a:ext cx="449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𝑟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𝑅</m:t>
                    </m:r>
                    <m:acc>
                      <m:accPr>
                        <m:chr m:val="̅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3ED0140-3442-4F26-B567-30DC76C82E6F}"/>
                </a:ext>
              </a:extLst>
            </xdr:cNvPr>
            <xdr:cNvSpPr txBox="1"/>
          </xdr:nvSpPr>
          <xdr:spPr>
            <a:xfrm>
              <a:off x="563880" y="579120"/>
              <a:ext cx="449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𝑟=𝑅𝑟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38100</xdr:colOff>
      <xdr:row>4</xdr:row>
      <xdr:rowOff>22860</xdr:rowOff>
    </xdr:from>
    <xdr:ext cx="1400319" cy="1806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5569E6D-C275-48DE-A6D7-81CD2E05D80C}"/>
                </a:ext>
              </a:extLst>
            </xdr:cNvPr>
            <xdr:cNvSpPr txBox="1"/>
          </xdr:nvSpPr>
          <xdr:spPr>
            <a:xfrm>
              <a:off x="541020" y="800100"/>
              <a:ext cx="1400319" cy="1806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=0,1+0,44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(1−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𝑟</m:t>
                            </m:r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)</m:t>
                            </m:r>
                          </m:e>
                        </m:acc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5569E6D-C275-48DE-A6D7-81CD2E05D80C}"/>
                </a:ext>
              </a:extLst>
            </xdr:cNvPr>
            <xdr:cNvSpPr txBox="1"/>
          </xdr:nvSpPr>
          <xdr:spPr>
            <a:xfrm>
              <a:off x="541020" y="800100"/>
              <a:ext cx="1400319" cy="1806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=0,1+0,44〖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(1−(𝑟)) ̅〗^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45720</xdr:colOff>
      <xdr:row>9</xdr:row>
      <xdr:rowOff>15240</xdr:rowOff>
    </xdr:from>
    <xdr:ext cx="46609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0AF2618-5082-4F44-AE57-3EA6DD2DB46A}"/>
                </a:ext>
              </a:extLst>
            </xdr:cNvPr>
            <xdr:cNvSpPr txBox="1"/>
          </xdr:nvSpPr>
          <xdr:spPr>
            <a:xfrm>
              <a:off x="548640" y="1935480"/>
              <a:ext cx="4660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𝑢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Ω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𝑟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0AF2618-5082-4F44-AE57-3EA6DD2DB46A}"/>
                </a:ext>
              </a:extLst>
            </xdr:cNvPr>
            <xdr:cNvSpPr txBox="1"/>
          </xdr:nvSpPr>
          <xdr:spPr>
            <a:xfrm>
              <a:off x="548640" y="1935480"/>
              <a:ext cx="4660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𝑢=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Ω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𝑟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22860</xdr:colOff>
      <xdr:row>10</xdr:row>
      <xdr:rowOff>15240</xdr:rowOff>
    </xdr:from>
    <xdr:ext cx="1076257" cy="2049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F5A30E4-EEFB-4AD0-8A6B-6238D5A39106}"/>
                </a:ext>
              </a:extLst>
            </xdr:cNvPr>
            <xdr:cNvSpPr txBox="1"/>
          </xdr:nvSpPr>
          <xdr:spPr>
            <a:xfrm>
              <a:off x="525780" y="2164080"/>
              <a:ext cx="1076257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𝑏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=4</m:t>
                    </m:r>
                    <m:acc>
                      <m:accPr>
                        <m:chr m:val="̅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𝑏</m:t>
                        </m:r>
                      </m:e>
                    </m:acc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𝑅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F5A30E4-EEFB-4AD0-8A6B-6238D5A39106}"/>
                </a:ext>
              </a:extLst>
            </xdr:cNvPr>
            <xdr:cNvSpPr txBox="1"/>
          </xdr:nvSpPr>
          <xdr:spPr>
            <a:xfrm>
              <a:off x="525780" y="2164080"/>
              <a:ext cx="1076257" cy="2049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𝑏=4𝑏 ̅√(𝑟(𝑅−𝑟))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6</xdr:row>
      <xdr:rowOff>30480</xdr:rowOff>
    </xdr:from>
    <xdr:ext cx="181332" cy="1829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25A1D8D-FDA1-4522-9946-249951CB517E}"/>
                </a:ext>
              </a:extLst>
            </xdr:cNvPr>
            <xdr:cNvSpPr txBox="1"/>
          </xdr:nvSpPr>
          <xdr:spPr>
            <a:xfrm>
              <a:off x="533400" y="1264920"/>
              <a:ext cx="181332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sub>
                    </m:sSub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25A1D8D-FDA1-4522-9946-249951CB517E}"/>
                </a:ext>
              </a:extLst>
            </xdr:cNvPr>
            <xdr:cNvSpPr txBox="1"/>
          </xdr:nvSpPr>
          <xdr:spPr>
            <a:xfrm>
              <a:off x="533400" y="1264920"/>
              <a:ext cx="181332" cy="1829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𝐶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𝑦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22860</xdr:colOff>
      <xdr:row>8</xdr:row>
      <xdr:rowOff>30480</xdr:rowOff>
    </xdr:from>
    <xdr:ext cx="54681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F320435-7237-4F40-AFF1-6D04508EA9BC}"/>
                </a:ext>
              </a:extLst>
            </xdr:cNvPr>
            <xdr:cNvSpPr txBox="1"/>
          </xdr:nvSpPr>
          <xdr:spPr>
            <a:xfrm>
              <a:off x="525780" y="1722120"/>
              <a:ext cx="5468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𝜇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=1/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𝐾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EF320435-7237-4F40-AFF1-6D04508EA9BC}"/>
                </a:ext>
              </a:extLst>
            </xdr:cNvPr>
            <xdr:cNvSpPr txBox="1"/>
          </xdr:nvSpPr>
          <xdr:spPr>
            <a:xfrm>
              <a:off x="525780" y="1722120"/>
              <a:ext cx="54681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𝜇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=1/𝐾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11</xdr:row>
      <xdr:rowOff>38100</xdr:rowOff>
    </xdr:from>
    <xdr:ext cx="978345" cy="3444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0C09E25-475A-40FE-9221-CDA5BBDFD273}"/>
                </a:ext>
              </a:extLst>
            </xdr:cNvPr>
            <xdr:cNvSpPr txBox="1"/>
          </xdr:nvSpPr>
          <xdr:spPr>
            <a:xfrm>
              <a:off x="533400" y="2049780"/>
              <a:ext cx="97834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𝑊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Sup>
                          <m:sSub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0C09E25-475A-40FE-9221-CDA5BBDFD273}"/>
                </a:ext>
              </a:extLst>
            </xdr:cNvPr>
            <xdr:cNvSpPr txBox="1"/>
          </xdr:nvSpPr>
          <xdr:spPr>
            <a:xfrm>
              <a:off x="533400" y="2049780"/>
              <a:ext cx="978345" cy="34445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𝑊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1=√(𝑢^2+𝑉_1^2 )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68580</xdr:colOff>
      <xdr:row>12</xdr:row>
      <xdr:rowOff>30480</xdr:rowOff>
    </xdr:from>
    <xdr:ext cx="110844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18BA5DB2-60A9-4555-AA8C-ACC6F0652E7F}"/>
                </a:ext>
              </a:extLst>
            </xdr:cNvPr>
            <xdr:cNvSpPr txBox="1"/>
          </xdr:nvSpPr>
          <xdr:spPr>
            <a:xfrm>
              <a:off x="571500" y="2834640"/>
              <a:ext cx="11084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𝛽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</m:sSub>
                  <m:r>
                    <a:rPr lang="en-US" sz="11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𝑎𝑟𝑐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𝑡𝑔</m:t>
                  </m:r>
                  <m:r>
                    <a:rPr lang="en-US" sz="1100" b="0" i="1">
                      <a:latin typeface="Cambria Math" panose="02040503050406030204" pitchFamily="18" charset="0"/>
                    </a:rPr>
                    <m:t>(</m:t>
                  </m:r>
                  <m:f>
                    <m:fPr>
                      <m:type m:val="lin"/>
                      <m:ctrlPr>
                        <a:rPr lang="en-US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>
                        <m:sSubPr>
                          <m:ctrlPr>
                            <a:rPr lang="en-US" sz="11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𝑉</m:t>
                          </m:r>
                        </m:e>
                        <m:sub>
                          <m:r>
                            <a:rPr lang="en-US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</m:sSub>
                    </m:num>
                    <m:den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𝑢</m:t>
                      </m:r>
                    </m:den>
                  </m:f>
                </m:oMath>
              </a14:m>
              <a:r>
                <a:rPr lang="en-US" sz="1100"/>
                <a:t>)</a:t>
              </a:r>
              <a:endParaRPr lang="ru-RU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18BA5DB2-60A9-4555-AA8C-ACC6F0652E7F}"/>
                </a:ext>
              </a:extLst>
            </xdr:cNvPr>
            <xdr:cNvSpPr txBox="1"/>
          </xdr:nvSpPr>
          <xdr:spPr>
            <a:xfrm>
              <a:off x="571500" y="2834640"/>
              <a:ext cx="110844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𝛽_</a:t>
              </a:r>
              <a:r>
                <a:rPr lang="en-US" sz="1100" b="0" i="0">
                  <a:latin typeface="Cambria Math" panose="02040503050406030204" pitchFamily="18" charset="0"/>
                </a:rPr>
                <a:t>1=𝑎𝑟𝑐 𝑡𝑔(𝑉_1∕𝑢</a:t>
              </a:r>
              <a:r>
                <a:rPr lang="en-US" sz="1100"/>
                <a:t>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53340</xdr:colOff>
      <xdr:row>13</xdr:row>
      <xdr:rowOff>30480</xdr:rowOff>
    </xdr:from>
    <xdr:ext cx="63119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CBBE14B9-4C50-414A-B46C-B76728D0EBD5}"/>
                </a:ext>
              </a:extLst>
            </xdr:cNvPr>
            <xdr:cNvSpPr txBox="1"/>
          </xdr:nvSpPr>
          <xdr:spPr>
            <a:xfrm>
              <a:off x="556260" y="3063240"/>
              <a:ext cx="63119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𝑆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𝑏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𝑅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CBBE14B9-4C50-414A-B46C-B76728D0EBD5}"/>
                </a:ext>
              </a:extLst>
            </xdr:cNvPr>
            <xdr:cNvSpPr txBox="1"/>
          </xdr:nvSpPr>
          <xdr:spPr>
            <a:xfrm>
              <a:off x="556260" y="3063240"/>
              <a:ext cx="63119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𝑆=𝑏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38100</xdr:colOff>
      <xdr:row>14</xdr:row>
      <xdr:rowOff>22860</xdr:rowOff>
    </xdr:from>
    <xdr:ext cx="1180003" cy="1885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EC75EDE-E83F-432E-9D58-A380D42AC2A0}"/>
                </a:ext>
              </a:extLst>
            </xdr:cNvPr>
            <xdr:cNvSpPr txBox="1"/>
          </xdr:nvSpPr>
          <xdr:spPr>
            <a:xfrm>
              <a:off x="541020" y="3284220"/>
              <a:ext cx="1180003" cy="1885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𝑦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sSubSup>
                      <m:sSub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𝑊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bSup>
                    <m:f>
                      <m:fPr>
                        <m:type m:val="lin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Δ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𝑆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EC75EDE-E83F-432E-9D58-A380D42AC2A0}"/>
                </a:ext>
              </a:extLst>
            </xdr:cNvPr>
            <xdr:cNvSpPr txBox="1"/>
          </xdr:nvSpPr>
          <xdr:spPr>
            <a:xfrm>
              <a:off x="541020" y="3284220"/>
              <a:ext cx="1180003" cy="1885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𝐹=𝐶_𝑦^2 𝜌𝑊_1^2 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𝑆∕2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68580</xdr:colOff>
      <xdr:row>15</xdr:row>
      <xdr:rowOff>22860</xdr:rowOff>
    </xdr:from>
    <xdr:ext cx="94461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E233DED-6E46-46B4-982F-F99323CD00C3}"/>
                </a:ext>
              </a:extLst>
            </xdr:cNvPr>
            <xdr:cNvSpPr txBox="1"/>
          </xdr:nvSpPr>
          <xdr:spPr>
            <a:xfrm>
              <a:off x="571500" y="3512820"/>
              <a:ext cx="9446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𝛾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+57,3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𝜇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E233DED-6E46-46B4-982F-F99323CD00C3}"/>
                </a:ext>
              </a:extLst>
            </xdr:cNvPr>
            <xdr:cNvSpPr txBox="1"/>
          </xdr:nvSpPr>
          <xdr:spPr>
            <a:xfrm>
              <a:off x="571500" y="3512820"/>
              <a:ext cx="9446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𝛾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=𝛽_1+57,3𝜇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45720</xdr:colOff>
      <xdr:row>17</xdr:row>
      <xdr:rowOff>30480</xdr:rowOff>
    </xdr:from>
    <xdr:ext cx="96712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29FA0F29-8C1B-413D-8FAA-1F553F1E2E74}"/>
                </a:ext>
              </a:extLst>
            </xdr:cNvPr>
            <xdr:cNvSpPr txBox="1"/>
          </xdr:nvSpPr>
          <xdr:spPr>
            <a:xfrm>
              <a:off x="548640" y="3749040"/>
              <a:ext cx="96712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=2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</m:t>
                    </m:r>
                    <m:func>
                      <m:func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100" b="0" i="0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cos</m:t>
                        </m:r>
                      </m:fName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𝛾</m:t>
                        </m:r>
                      </m:e>
                    </m:fun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29FA0F29-8C1B-413D-8FAA-1F553F1E2E74}"/>
                </a:ext>
              </a:extLst>
            </xdr:cNvPr>
            <xdr:cNvSpPr txBox="1"/>
          </xdr:nvSpPr>
          <xdr:spPr>
            <a:xfrm>
              <a:off x="548640" y="3749040"/>
              <a:ext cx="96712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𝑃=2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 cos⁡𝛾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30480</xdr:colOff>
      <xdr:row>18</xdr:row>
      <xdr:rowOff>30480</xdr:rowOff>
    </xdr:from>
    <xdr:ext cx="104278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18EB1C5-5BEE-4953-A4FC-96BEECAEBC54}"/>
                </a:ext>
              </a:extLst>
            </xdr:cNvPr>
            <xdr:cNvSpPr txBox="1"/>
          </xdr:nvSpPr>
          <xdr:spPr>
            <a:xfrm>
              <a:off x="533400" y="3977640"/>
              <a:ext cx="104278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l-GR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𝑁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=2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𝐹𝑢</m:t>
                    </m:r>
                    <m:func>
                      <m:func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100" b="0" i="0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sin</m:t>
                        </m:r>
                      </m:fName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𝛾</m:t>
                        </m:r>
                      </m:e>
                    </m:fun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18EB1C5-5BEE-4953-A4FC-96BEECAEBC54}"/>
                </a:ext>
              </a:extLst>
            </xdr:cNvPr>
            <xdr:cNvSpPr txBox="1"/>
          </xdr:nvSpPr>
          <xdr:spPr>
            <a:xfrm>
              <a:off x="533400" y="3977640"/>
              <a:ext cx="104278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𝑁=2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𝐹𝑢 sin⁡𝛾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19</xdr:row>
      <xdr:rowOff>30480</xdr:rowOff>
    </xdr:from>
    <xdr:ext cx="5588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4B4293E4-1A9F-4A98-B53C-D51E802FE55E}"/>
                </a:ext>
              </a:extLst>
            </xdr:cNvPr>
            <xdr:cNvSpPr txBox="1"/>
          </xdr:nvSpPr>
          <xdr:spPr>
            <a:xfrm>
              <a:off x="563880" y="4206240"/>
              <a:ext cx="558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ΣΔ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4B4293E4-1A9F-4A98-B53C-D51E802FE55E}"/>
                </a:ext>
              </a:extLst>
            </xdr:cNvPr>
            <xdr:cNvSpPr txBox="1"/>
          </xdr:nvSpPr>
          <xdr:spPr>
            <a:xfrm>
              <a:off x="563880" y="4206240"/>
              <a:ext cx="558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𝑃=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ΣΔ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𝑃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20</xdr:row>
      <xdr:rowOff>22860</xdr:rowOff>
    </xdr:from>
    <xdr:ext cx="64973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3775E34D-21E8-471E-82FF-0C28098855B4}"/>
                </a:ext>
              </a:extLst>
            </xdr:cNvPr>
            <xdr:cNvSpPr txBox="1"/>
          </xdr:nvSpPr>
          <xdr:spPr>
            <a:xfrm>
              <a:off x="563880" y="4427220"/>
              <a:ext cx="6497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l-GR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ΣΔ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𝑁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3775E34D-21E8-471E-82FF-0C28098855B4}"/>
                </a:ext>
              </a:extLst>
            </xdr:cNvPr>
            <xdr:cNvSpPr txBox="1"/>
          </xdr:nvSpPr>
          <xdr:spPr>
            <a:xfrm>
              <a:off x="563880" y="4427220"/>
              <a:ext cx="6497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𝑁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𝑛=</a:t>
              </a:r>
              <a:r>
                <a:rPr lang="el-GR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ΣΔ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𝑁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60960</xdr:colOff>
      <xdr:row>16</xdr:row>
      <xdr:rowOff>15240</xdr:rowOff>
    </xdr:from>
    <xdr:ext cx="7254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1F9D8A4B-DC9E-482D-B3F9-68CEB1164885}"/>
                </a:ext>
              </a:extLst>
            </xdr:cNvPr>
            <xdr:cNvSpPr txBox="1"/>
          </xdr:nvSpPr>
          <xdr:spPr>
            <a:xfrm>
              <a:off x="563880" y="3733800"/>
              <a:ext cx="7254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</m:e>
                      <m:sub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1F9D8A4B-DC9E-482D-B3F9-68CEB1164885}"/>
                </a:ext>
              </a:extLst>
            </xdr:cNvPr>
            <xdr:cNvSpPr txBox="1"/>
          </xdr:nvSpPr>
          <xdr:spPr>
            <a:xfrm>
              <a:off x="563880" y="3733800"/>
              <a:ext cx="7254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=𝛽_1+𝛼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137160</xdr:colOff>
      <xdr:row>1</xdr:row>
      <xdr:rowOff>22860</xdr:rowOff>
    </xdr:from>
    <xdr:ext cx="10201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314E6D94-CF37-4DFA-BA26-AD66DED3960B}"/>
                </a:ext>
              </a:extLst>
            </xdr:cNvPr>
            <xdr:cNvSpPr txBox="1"/>
          </xdr:nvSpPr>
          <xdr:spPr>
            <a:xfrm>
              <a:off x="6408420" y="205740"/>
              <a:ext cx="10201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314E6D94-CF37-4DFA-BA26-AD66DED3960B}"/>
                </a:ext>
              </a:extLst>
            </xdr:cNvPr>
            <xdr:cNvSpPr txBox="1"/>
          </xdr:nvSpPr>
          <xdr:spPr>
            <a:xfrm>
              <a:off x="6408420" y="205740"/>
              <a:ext cx="10201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𝑟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1181100</xdr:colOff>
      <xdr:row>10</xdr:row>
      <xdr:rowOff>45720</xdr:rowOff>
    </xdr:from>
    <xdr:ext cx="815340" cy="190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B4C33AD1-E075-4B1E-AA89-DDA543514906}"/>
                </a:ext>
              </a:extLst>
            </xdr:cNvPr>
            <xdr:cNvSpPr txBox="1"/>
          </xdr:nvSpPr>
          <xdr:spPr>
            <a:xfrm>
              <a:off x="1684020" y="2194560"/>
              <a:ext cx="815340" cy="190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𝑏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=0,08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B4C33AD1-E075-4B1E-AA89-DDA543514906}"/>
                </a:ext>
              </a:extLst>
            </xdr:cNvPr>
            <xdr:cNvSpPr txBox="1"/>
          </xdr:nvSpPr>
          <xdr:spPr>
            <a:xfrm>
              <a:off x="1684020" y="2194560"/>
              <a:ext cx="815340" cy="190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𝑏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=0,08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1112520</xdr:colOff>
      <xdr:row>6</xdr:row>
      <xdr:rowOff>38100</xdr:rowOff>
    </xdr:from>
    <xdr:ext cx="56432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8AD5168-2DC4-49E6-B7B4-1B46AAED1F0C}"/>
                </a:ext>
              </a:extLst>
            </xdr:cNvPr>
            <xdr:cNvSpPr txBox="1"/>
          </xdr:nvSpPr>
          <xdr:spPr>
            <a:xfrm>
              <a:off x="1112520" y="1333500"/>
              <a:ext cx="56432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𝑐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̅"/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</m:acc>
                    <m:r>
                      <a:rPr lang="en-US" sz="11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𝑏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28AD5168-2DC4-49E6-B7B4-1B46AAED1F0C}"/>
                </a:ext>
              </a:extLst>
            </xdr:cNvPr>
            <xdr:cNvSpPr txBox="1"/>
          </xdr:nvSpPr>
          <xdr:spPr>
            <a:xfrm>
              <a:off x="1112520" y="1333500"/>
              <a:ext cx="56432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=</a:t>
              </a:r>
              <a:r>
                <a:rPr lang="en-US" sz="1100" b="0" i="0">
                  <a:latin typeface="Cambria Math" panose="02040503050406030204" pitchFamily="18" charset="0"/>
                </a:rPr>
                <a:t>𝑐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r>
                <a:rPr lang="en-US" sz="1100" b="0" i="0">
                  <a:latin typeface="Cambria Math" panose="02040503050406030204" pitchFamily="18" charset="0"/>
                </a:rPr>
                <a:t>∗𝑏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137160</xdr:colOff>
      <xdr:row>9</xdr:row>
      <xdr:rowOff>15240</xdr:rowOff>
    </xdr:from>
    <xdr:ext cx="180690" cy="1762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846389-2C17-47E0-AF66-D1B847516A41}"/>
                </a:ext>
              </a:extLst>
            </xdr:cNvPr>
            <xdr:cNvSpPr txBox="1"/>
          </xdr:nvSpPr>
          <xdr:spPr>
            <a:xfrm>
              <a:off x="746760" y="1661160"/>
              <a:ext cx="180690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/>
                <a:t>(</a:t>
              </a:r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ru-RU" sz="1100" i="1">
                          <a:latin typeface="Cambria Math" panose="02040503050406030204" pitchFamily="18" charset="0"/>
                        </a:rPr>
                      </m:ctrlPr>
                    </m:accPr>
                    <m:e>
                      <m:r>
                        <a:rPr lang="ru-RU" sz="1100" b="0" i="1">
                          <a:latin typeface="Cambria Math" panose="02040503050406030204" pitchFamily="18" charset="0"/>
                        </a:rPr>
                        <m:t>С</m:t>
                      </m:r>
                    </m:e>
                  </m:acc>
                  <m:r>
                    <a:rPr lang="ru-RU" sz="1100" b="0" i="1">
                      <a:latin typeface="Cambria Math" panose="02040503050406030204" pitchFamily="18" charset="0"/>
                    </a:rPr>
                    <m:t>)</m:t>
                  </m:r>
                </m:oMath>
              </a14:m>
              <a:endParaRPr lang="ru-RU" sz="1100" b="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846389-2C17-47E0-AF66-D1B847516A41}"/>
                </a:ext>
              </a:extLst>
            </xdr:cNvPr>
            <xdr:cNvSpPr txBox="1"/>
          </xdr:nvSpPr>
          <xdr:spPr>
            <a:xfrm>
              <a:off x="746760" y="1661160"/>
              <a:ext cx="180690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/>
                <a:t>(</a:t>
              </a:r>
              <a:r>
                <a:rPr lang="ru-RU" sz="1100" b="0" i="0">
                  <a:latin typeface="Cambria Math" panose="02040503050406030204" pitchFamily="18" charset="0"/>
                </a:rPr>
                <a:t>С ̅)</a:t>
              </a:r>
              <a:endParaRPr lang="ru-RU" sz="1100" b="0"/>
            </a:p>
          </xdr:txBody>
        </xdr:sp>
      </mc:Fallback>
    </mc:AlternateContent>
    <xdr:clientData/>
  </xdr:oneCellAnchor>
  <xdr:twoCellAnchor>
    <xdr:from>
      <xdr:col>4</xdr:col>
      <xdr:colOff>228600</xdr:colOff>
      <xdr:row>2</xdr:row>
      <xdr:rowOff>53340</xdr:rowOff>
    </xdr:from>
    <xdr:to>
      <xdr:col>17</xdr:col>
      <xdr:colOff>487680</xdr:colOff>
      <xdr:row>27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40300AB0-3D04-4E71-B772-E64984F7A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374219</xdr:colOff>
      <xdr:row>10</xdr:row>
      <xdr:rowOff>15249</xdr:rowOff>
    </xdr:from>
    <xdr:ext cx="176202" cy="1112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4090163-9F16-4EDF-BF7B-2DB65D94530B}"/>
                </a:ext>
              </a:extLst>
            </xdr:cNvPr>
            <xdr:cNvSpPr txBox="1"/>
          </xdr:nvSpPr>
          <xdr:spPr>
            <a:xfrm rot="16200000">
              <a:off x="2845096" y="1811572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С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4090163-9F16-4EDF-BF7B-2DB65D94530B}"/>
                </a:ext>
              </a:extLst>
            </xdr:cNvPr>
            <xdr:cNvSpPr txBox="1"/>
          </xdr:nvSpPr>
          <xdr:spPr>
            <a:xfrm rot="16200000">
              <a:off x="2845096" y="1811572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b="0" i="0">
                  <a:latin typeface="Cambria Math" panose="02040503050406030204" pitchFamily="18" charset="0"/>
                </a:rPr>
                <a:t>С ̅</a:t>
              </a:r>
              <a:endParaRPr lang="ru-RU" sz="1100"/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251460</xdr:colOff>
      <xdr:row>5</xdr:row>
      <xdr:rowOff>22860</xdr:rowOff>
    </xdr:from>
    <xdr:ext cx="111248" cy="1762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202C5F2E-F2B3-4C8C-9F43-329719C97E5F}"/>
                </a:ext>
              </a:extLst>
            </xdr:cNvPr>
            <xdr:cNvSpPr txBox="1"/>
          </xdr:nvSpPr>
          <xdr:spPr>
            <a:xfrm>
              <a:off x="861060" y="3131820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С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202C5F2E-F2B3-4C8C-9F43-329719C97E5F}"/>
                </a:ext>
              </a:extLst>
            </xdr:cNvPr>
            <xdr:cNvSpPr txBox="1"/>
          </xdr:nvSpPr>
          <xdr:spPr>
            <a:xfrm>
              <a:off x="861060" y="3131820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b="0" i="0">
                  <a:latin typeface="Cambria Math" panose="02040503050406030204" pitchFamily="18" charset="0"/>
                </a:rPr>
                <a:t>С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251460</xdr:colOff>
      <xdr:row>35</xdr:row>
      <xdr:rowOff>22860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AB2FE61-1033-4489-9874-99398A5A292C}"/>
            </a:ext>
          </a:extLst>
        </xdr:cNvPr>
        <xdr:cNvSpPr txBox="1"/>
      </xdr:nvSpPr>
      <xdr:spPr>
        <a:xfrm>
          <a:off x="861060" y="77571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twoCellAnchor>
    <xdr:from>
      <xdr:col>6</xdr:col>
      <xdr:colOff>231775</xdr:colOff>
      <xdr:row>0</xdr:row>
      <xdr:rowOff>152400</xdr:rowOff>
    </xdr:from>
    <xdr:to>
      <xdr:col>18</xdr:col>
      <xdr:colOff>487363</xdr:colOff>
      <xdr:row>24</xdr:row>
      <xdr:rowOff>69849</xdr:rowOff>
    </xdr:to>
    <xdr:graphicFrame macro="">
      <xdr:nvGraphicFramePr>
        <xdr:cNvPr id="15" name="Диаграмма 14">
          <a:extLst>
            <a:ext uri="{FF2B5EF4-FFF2-40B4-BE49-F238E27FC236}">
              <a16:creationId xmlns:a16="http://schemas.microsoft.com/office/drawing/2014/main" id="{5B89979C-85F5-422D-836A-EFE54F4475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251460</xdr:colOff>
      <xdr:row>5</xdr:row>
      <xdr:rowOff>22860</xdr:rowOff>
    </xdr:from>
    <xdr:ext cx="111248" cy="1762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77DDA504-D18E-488B-A4BB-F91027FD9D8A}"/>
                </a:ext>
              </a:extLst>
            </xdr:cNvPr>
            <xdr:cNvSpPr txBox="1"/>
          </xdr:nvSpPr>
          <xdr:spPr>
            <a:xfrm>
              <a:off x="861060" y="943610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С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77DDA504-D18E-488B-A4BB-F91027FD9D8A}"/>
                </a:ext>
              </a:extLst>
            </xdr:cNvPr>
            <xdr:cNvSpPr txBox="1"/>
          </xdr:nvSpPr>
          <xdr:spPr>
            <a:xfrm>
              <a:off x="861060" y="943610"/>
              <a:ext cx="111248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b="0" i="0">
                  <a:latin typeface="Cambria Math" panose="02040503050406030204" pitchFamily="18" charset="0"/>
                </a:rPr>
                <a:t>С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14</xdr:col>
      <xdr:colOff>146050</xdr:colOff>
      <xdr:row>22</xdr:row>
      <xdr:rowOff>142875</xdr:rowOff>
    </xdr:from>
    <xdr:ext cx="122277" cy="1762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E10A982-C3D4-461D-9B6F-BC86641A9674}"/>
                </a:ext>
              </a:extLst>
            </xdr:cNvPr>
            <xdr:cNvSpPr txBox="1"/>
          </xdr:nvSpPr>
          <xdr:spPr>
            <a:xfrm>
              <a:off x="8731250" y="4251325"/>
              <a:ext cx="122277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E10A982-C3D4-461D-9B6F-BC86641A9674}"/>
                </a:ext>
              </a:extLst>
            </xdr:cNvPr>
            <xdr:cNvSpPr txBox="1"/>
          </xdr:nvSpPr>
          <xdr:spPr>
            <a:xfrm>
              <a:off x="8731250" y="4251325"/>
              <a:ext cx="122277" cy="1762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𝐶</a:t>
              </a:r>
              <a:r>
                <a:rPr lang="ru-RU" sz="1100" b="0" i="0">
                  <a:latin typeface="Cambria Math" panose="02040503050406030204" pitchFamily="18" charset="0"/>
                </a:rPr>
                <a:t> ̅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72A21-52BD-460C-9C3D-A3905F4BFC32}">
  <dimension ref="A1:M29"/>
  <sheetViews>
    <sheetView tabSelected="1" zoomScale="75" zoomScaleNormal="75" workbookViewId="0">
      <selection activeCell="E13" sqref="E13"/>
    </sheetView>
  </sheetViews>
  <sheetFormatPr defaultColWidth="8.88671875" defaultRowHeight="13.8" x14ac:dyDescent="0.25"/>
  <cols>
    <col min="1" max="1" width="49.33203125" style="13" customWidth="1"/>
    <col min="2" max="2" width="10.6640625" style="14" customWidth="1"/>
    <col min="3" max="5" width="10.6640625" style="13" customWidth="1"/>
    <col min="6" max="16384" width="8.88671875" style="13"/>
  </cols>
  <sheetData>
    <row r="1" spans="1:13" ht="15" customHeight="1" x14ac:dyDescent="0.25"/>
    <row r="2" spans="1:13" ht="19.95" customHeight="1" x14ac:dyDescent="0.3">
      <c r="A2" s="53" t="s">
        <v>4</v>
      </c>
      <c r="B2" s="16" t="s">
        <v>5</v>
      </c>
      <c r="C2" s="16" t="s">
        <v>5</v>
      </c>
      <c r="D2" s="16" t="s">
        <v>5</v>
      </c>
      <c r="E2" s="16" t="s">
        <v>5</v>
      </c>
    </row>
    <row r="3" spans="1:13" ht="19.95" customHeight="1" x14ac:dyDescent="0.3">
      <c r="A3" s="15" t="s">
        <v>13</v>
      </c>
      <c r="B3" s="16">
        <v>2600</v>
      </c>
      <c r="C3" s="16">
        <v>2600</v>
      </c>
      <c r="D3" s="16">
        <v>2600</v>
      </c>
      <c r="E3" s="58">
        <v>2800</v>
      </c>
    </row>
    <row r="4" spans="1:13" ht="19.95" customHeight="1" x14ac:dyDescent="0.3">
      <c r="A4" s="15" t="s">
        <v>12</v>
      </c>
      <c r="B4" s="16">
        <v>0.7</v>
      </c>
      <c r="C4" s="16">
        <v>0.7</v>
      </c>
      <c r="D4" s="16">
        <v>0.7</v>
      </c>
      <c r="E4" s="58">
        <v>0.7</v>
      </c>
    </row>
    <row r="5" spans="1:13" ht="19.95" customHeight="1" x14ac:dyDescent="0.3">
      <c r="A5" s="17" t="s">
        <v>6</v>
      </c>
      <c r="B5" s="16">
        <v>250</v>
      </c>
      <c r="C5" s="16">
        <v>250</v>
      </c>
      <c r="D5" s="16">
        <v>250</v>
      </c>
      <c r="E5" s="16">
        <v>250</v>
      </c>
    </row>
    <row r="6" spans="1:13" ht="19.95" customHeight="1" x14ac:dyDescent="0.3">
      <c r="A6" s="17" t="s">
        <v>26</v>
      </c>
      <c r="B6" s="16">
        <v>18</v>
      </c>
      <c r="C6" s="16">
        <v>18</v>
      </c>
      <c r="D6" s="16">
        <v>18</v>
      </c>
      <c r="E6" s="58">
        <v>18</v>
      </c>
    </row>
    <row r="7" spans="1:13" ht="19.95" customHeight="1" x14ac:dyDescent="0.3">
      <c r="A7" s="17" t="s">
        <v>11</v>
      </c>
      <c r="B7" s="16">
        <f>B6*746</f>
        <v>13428</v>
      </c>
      <c r="C7" s="16">
        <f>C6*746</f>
        <v>13428</v>
      </c>
      <c r="D7" s="16">
        <f>D6*746</f>
        <v>13428</v>
      </c>
      <c r="E7" s="54">
        <f>E6*746</f>
        <v>13428</v>
      </c>
    </row>
    <row r="8" spans="1:13" ht="19.95" customHeight="1" x14ac:dyDescent="4.1500000000000004">
      <c r="A8" s="17" t="s">
        <v>7</v>
      </c>
      <c r="B8" s="16">
        <v>55</v>
      </c>
      <c r="C8" s="16">
        <v>55</v>
      </c>
      <c r="D8" s="16">
        <v>55</v>
      </c>
      <c r="E8" s="58">
        <v>55</v>
      </c>
      <c r="M8" s="72" t="s">
        <v>41</v>
      </c>
    </row>
    <row r="9" spans="1:13" ht="19.95" customHeight="1" x14ac:dyDescent="0.3">
      <c r="A9" s="17" t="s">
        <v>7</v>
      </c>
      <c r="B9" s="18">
        <f>B8/3.6</f>
        <v>15.277777777777777</v>
      </c>
      <c r="C9" s="18">
        <f>C8/3.6</f>
        <v>15.277777777777777</v>
      </c>
      <c r="D9" s="18">
        <f>D8/3.6</f>
        <v>15.277777777777777</v>
      </c>
      <c r="E9" s="55">
        <f>E8/3.6</f>
        <v>15.277777777777777</v>
      </c>
    </row>
    <row r="10" spans="1:13" ht="19.95" customHeight="1" x14ac:dyDescent="0.25">
      <c r="A10" s="19" t="s">
        <v>10</v>
      </c>
      <c r="B10" s="16"/>
      <c r="C10" s="16"/>
      <c r="D10" s="16"/>
      <c r="E10" s="54"/>
    </row>
    <row r="11" spans="1:13" ht="19.95" customHeight="1" x14ac:dyDescent="0.3">
      <c r="A11" s="17" t="s">
        <v>8</v>
      </c>
      <c r="B11" s="55">
        <f>B9*1.2</f>
        <v>18.333333333333332</v>
      </c>
      <c r="C11" s="55">
        <f>C9*1.2</f>
        <v>18.333333333333332</v>
      </c>
      <c r="D11" s="55">
        <f>D9*1.2</f>
        <v>18.333333333333332</v>
      </c>
      <c r="E11" s="55">
        <f>E9*1.2</f>
        <v>18.333333333333332</v>
      </c>
    </row>
    <row r="12" spans="1:13" ht="19.95" customHeight="1" x14ac:dyDescent="0.3">
      <c r="A12" s="17" t="s">
        <v>9</v>
      </c>
      <c r="B12" s="18">
        <f>B9</f>
        <v>15.277777777777777</v>
      </c>
      <c r="C12" s="18">
        <f>C9</f>
        <v>15.277777777777777</v>
      </c>
      <c r="D12" s="18">
        <f>D9</f>
        <v>15.277777777777777</v>
      </c>
      <c r="E12" s="20">
        <f>E9</f>
        <v>15.277777777777777</v>
      </c>
    </row>
    <row r="13" spans="1:13" ht="19.95" customHeight="1" x14ac:dyDescent="0.3">
      <c r="A13" s="21"/>
      <c r="B13" s="22">
        <f>B3*0.1047</f>
        <v>272.22000000000003</v>
      </c>
      <c r="C13" s="22">
        <f>C3*0.1047</f>
        <v>272.22000000000003</v>
      </c>
      <c r="D13" s="22">
        <f>D3*0.1047</f>
        <v>272.22000000000003</v>
      </c>
      <c r="E13" s="56">
        <f>E3*0.1047</f>
        <v>293.16000000000003</v>
      </c>
    </row>
    <row r="14" spans="1:13" ht="19.95" customHeight="1" x14ac:dyDescent="0.3">
      <c r="A14" s="21"/>
      <c r="B14" s="16">
        <v>1.2237</v>
      </c>
      <c r="C14" s="16">
        <v>1.2237</v>
      </c>
      <c r="D14" s="16">
        <v>1.2237</v>
      </c>
      <c r="E14" s="58">
        <v>1.2237</v>
      </c>
    </row>
    <row r="15" spans="1:13" ht="19.95" customHeight="1" x14ac:dyDescent="0.25">
      <c r="A15" s="73" t="s">
        <v>42</v>
      </c>
      <c r="B15" s="16">
        <v>0.08</v>
      </c>
      <c r="C15" s="16">
        <v>0.08</v>
      </c>
      <c r="D15" s="16">
        <v>0.08</v>
      </c>
      <c r="E15" s="58">
        <v>0.08</v>
      </c>
    </row>
    <row r="16" spans="1:13" ht="19.95" customHeight="1" x14ac:dyDescent="0.3">
      <c r="A16" s="23"/>
      <c r="B16" s="24"/>
      <c r="C16" s="25"/>
      <c r="D16" s="25"/>
      <c r="E16" s="25"/>
    </row>
    <row r="17" spans="1:5" ht="19.95" customHeight="1" x14ac:dyDescent="0.25"/>
    <row r="18" spans="1:5" ht="18" x14ac:dyDescent="0.25">
      <c r="A18" s="62" t="s">
        <v>3</v>
      </c>
      <c r="B18" s="62" t="s">
        <v>2</v>
      </c>
      <c r="C18" s="62"/>
      <c r="D18" s="62"/>
      <c r="E18" s="62"/>
    </row>
    <row r="19" spans="1:5" ht="15.6" x14ac:dyDescent="0.25">
      <c r="A19" s="62"/>
      <c r="B19" s="9">
        <v>0.7</v>
      </c>
      <c r="C19" s="9">
        <v>0.65</v>
      </c>
      <c r="D19" s="9">
        <v>0.63</v>
      </c>
      <c r="E19" s="59">
        <v>0.61499999999999999</v>
      </c>
    </row>
    <row r="20" spans="1:5" ht="19.95" customHeight="1" x14ac:dyDescent="0.35">
      <c r="A20" s="26"/>
      <c r="B20" s="7">
        <f>B19/0.85</f>
        <v>0.82352941176470584</v>
      </c>
      <c r="C20" s="7">
        <f>C19/0.85</f>
        <v>0.76470588235294124</v>
      </c>
      <c r="D20" s="7">
        <f>D19/0.85</f>
        <v>0.74117647058823533</v>
      </c>
      <c r="E20" s="7">
        <f>E19/0.85</f>
        <v>0.72352941176470587</v>
      </c>
    </row>
    <row r="21" spans="1:5" ht="19.95" customHeight="1" x14ac:dyDescent="0.35">
      <c r="A21" s="26"/>
      <c r="B21" s="10">
        <f>4*((1/B20^2) - (1/B20))</f>
        <v>1.0408163265306118</v>
      </c>
      <c r="C21" s="8">
        <f>4*((1/C20^2) - (1/C20))</f>
        <v>1.609467455621302</v>
      </c>
      <c r="D21" s="10">
        <f>4*((1/D20^2) - (1/D20))</f>
        <v>1.8846056941295029</v>
      </c>
      <c r="E21" s="10">
        <f>4*((1/E20^2) - (1/E20))</f>
        <v>2.1124991737722256</v>
      </c>
    </row>
    <row r="22" spans="1:5" ht="19.95" customHeight="1" x14ac:dyDescent="0.35">
      <c r="A22" s="26"/>
      <c r="B22" s="11">
        <f>B7*B19/B11</f>
        <v>512.70545454545447</v>
      </c>
      <c r="C22" s="11">
        <f>C7*C19/C11</f>
        <v>476.08363636363646</v>
      </c>
      <c r="D22" s="11">
        <f>D7*D19/D11</f>
        <v>461.43490909090912</v>
      </c>
      <c r="E22" s="11">
        <f>E7*E19/E11</f>
        <v>450.44836363636364</v>
      </c>
    </row>
    <row r="23" spans="1:5" ht="19.95" customHeight="1" x14ac:dyDescent="0.35">
      <c r="A23" s="26"/>
      <c r="B23" s="10">
        <f>2*B22/(B21*B14*B11^2)</f>
        <v>2.3953336073155356</v>
      </c>
      <c r="C23" s="10">
        <f>2*C22/(C21*C14*C11^2)</f>
        <v>1.4383786266232408</v>
      </c>
      <c r="D23" s="10">
        <f>2*D22/(D21*D14*D11^2)</f>
        <v>1.1905896816361543</v>
      </c>
      <c r="E23" s="10">
        <f>2*E22/(E21*E14*E11^2)</f>
        <v>1.0368612207317562</v>
      </c>
    </row>
    <row r="24" spans="1:5" ht="19.95" customHeight="1" x14ac:dyDescent="0.35">
      <c r="A24" s="26"/>
      <c r="B24" s="10">
        <f>SQRT(B23/PI())</f>
        <v>0.87318862104176376</v>
      </c>
      <c r="C24" s="10">
        <f>SQRT(C23/PI())</f>
        <v>0.67664624208639546</v>
      </c>
      <c r="D24" s="10">
        <f>SQRT(D23/PI())</f>
        <v>0.61561064485046058</v>
      </c>
      <c r="E24" s="74">
        <f>SQRT(E23/PI())</f>
        <v>0.57449384431820638</v>
      </c>
    </row>
    <row r="25" spans="1:5" ht="19.95" customHeight="1" x14ac:dyDescent="0.35">
      <c r="A25" s="26"/>
      <c r="B25" s="12">
        <f>B13*B24</f>
        <v>237.69940641998895</v>
      </c>
      <c r="C25" s="12">
        <f>C13*C24</f>
        <v>184.19664002075859</v>
      </c>
      <c r="D25" s="12">
        <f>D13*D24</f>
        <v>167.58152974119238</v>
      </c>
      <c r="E25" s="12">
        <f>E13*E24</f>
        <v>168.41861540032539</v>
      </c>
    </row>
    <row r="26" spans="1:5" ht="31.2" customHeight="1" x14ac:dyDescent="0.35">
      <c r="A26" s="26"/>
      <c r="B26" s="11">
        <f>(B11 + SQRT(B11^2 + 4*B22*(B14*B23)))/2</f>
        <v>49.002008879961366</v>
      </c>
      <c r="C26" s="11">
        <f>(C11 + SQRT(C11^2 + 4*C22*(C14*C23)))/2</f>
        <v>39.531177173260254</v>
      </c>
      <c r="D26" s="11">
        <f>(D11 + SQRT(D11^2 + 4*D22*(D14*D23)))/2</f>
        <v>36.667642014715639</v>
      </c>
      <c r="E26" s="11">
        <f>(E11 + SQRT(E11^2 + 4*E22*(E14*E23)))/2</f>
        <v>34.770569666920046</v>
      </c>
    </row>
    <row r="27" spans="1:5" ht="19.95" customHeight="1" x14ac:dyDescent="0.25">
      <c r="A27" s="27" t="s">
        <v>0</v>
      </c>
      <c r="B27" s="9"/>
      <c r="C27" s="9"/>
      <c r="D27" s="9"/>
      <c r="E27" s="9"/>
    </row>
    <row r="28" spans="1:5" ht="19.95" customHeight="1" x14ac:dyDescent="0.25">
      <c r="A28" s="27" t="s">
        <v>31</v>
      </c>
      <c r="B28" s="28" t="str">
        <f>IF(B25&gt;B5, "ДА", IF(B5&gt;B25, "НЕТ", ""))</f>
        <v>НЕТ</v>
      </c>
      <c r="C28" s="28" t="str">
        <f>IF(C25&gt;C5, "ДА", IF(C5&gt;C25, "НЕТ", ""))</f>
        <v>НЕТ</v>
      </c>
      <c r="D28" s="28" t="str">
        <f t="shared" ref="D28:E28" si="0">IF(D25&gt;D5, "ДА", IF(D5&gt;D25, "НЕТ", ""))</f>
        <v>НЕТ</v>
      </c>
      <c r="E28" s="28" t="str">
        <f t="shared" si="0"/>
        <v>НЕТ</v>
      </c>
    </row>
    <row r="29" spans="1:5" ht="19.95" customHeight="1" x14ac:dyDescent="0.25">
      <c r="A29" s="27" t="s">
        <v>1</v>
      </c>
      <c r="B29" s="28" t="str">
        <f>IF(OR(B24&gt;B4, B25&gt;B5), "ДА", "НЕТ")</f>
        <v>ДА</v>
      </c>
      <c r="C29" s="28" t="str">
        <f>IF(OR(C24&gt;C4, C25&gt;C5), "ДА", "НЕТ")</f>
        <v>НЕТ</v>
      </c>
      <c r="D29" s="28" t="str">
        <f>IF(OR(D24&gt;D4, D25&gt;D5), "ДА", "НЕТ")</f>
        <v>НЕТ</v>
      </c>
      <c r="E29" s="28" t="str">
        <f>IF(OR(E24&gt;E4, E25&gt;E5), "ДА", "НЕТ")</f>
        <v>НЕТ</v>
      </c>
    </row>
  </sheetData>
  <mergeCells count="2">
    <mergeCell ref="B18:E18"/>
    <mergeCell ref="A18:A19"/>
  </mergeCells>
  <conditionalFormatting sqref="B28">
    <cfRule type="expression" dxfId="15" priority="15" stopIfTrue="1">
      <formula>$B$28="НЕТ"</formula>
    </cfRule>
    <cfRule type="expression" dxfId="14" priority="16" stopIfTrue="1">
      <formula>$B$28="ДА"</formula>
    </cfRule>
  </conditionalFormatting>
  <conditionalFormatting sqref="C28">
    <cfRule type="expression" dxfId="13" priority="13">
      <formula>$C$28="НЕТ"</formula>
    </cfRule>
    <cfRule type="expression" dxfId="12" priority="14">
      <formula>$C$28="ДА"</formula>
    </cfRule>
  </conditionalFormatting>
  <conditionalFormatting sqref="D28">
    <cfRule type="expression" dxfId="11" priority="11">
      <formula>$D$28="НЕТ"</formula>
    </cfRule>
    <cfRule type="expression" dxfId="10" priority="12">
      <formula>$D$28="ДА"</formula>
    </cfRule>
  </conditionalFormatting>
  <conditionalFormatting sqref="E28">
    <cfRule type="expression" dxfId="9" priority="9">
      <formula>$E$28="НЕТ"</formula>
    </cfRule>
    <cfRule type="expression" dxfId="8" priority="10">
      <formula>$E$28="ДА"</formula>
    </cfRule>
  </conditionalFormatting>
  <conditionalFormatting sqref="B29">
    <cfRule type="expression" dxfId="7" priority="7">
      <formula>$B$29="НЕТ"</formula>
    </cfRule>
    <cfRule type="expression" dxfId="6" priority="8">
      <formula>$B$29="ДА"</formula>
    </cfRule>
  </conditionalFormatting>
  <conditionalFormatting sqref="C29">
    <cfRule type="expression" dxfId="5" priority="5">
      <formula>$C$29="НЕТ"</formula>
    </cfRule>
    <cfRule type="expression" dxfId="4" priority="6">
      <formula>$C$29="ДА"</formula>
    </cfRule>
  </conditionalFormatting>
  <conditionalFormatting sqref="D29">
    <cfRule type="expression" dxfId="3" priority="3">
      <formula>$D$29="НЕТ"</formula>
    </cfRule>
    <cfRule type="expression" dxfId="2" priority="4">
      <formula>$D$29="ДА"</formula>
    </cfRule>
  </conditionalFormatting>
  <conditionalFormatting sqref="E29">
    <cfRule type="expression" dxfId="1" priority="1">
      <formula>$E$29="НЕТ"</formula>
    </cfRule>
    <cfRule type="expression" dxfId="0" priority="2">
      <formula>$E$29="ДА"</formula>
    </cfRule>
  </conditionalFormatting>
  <pageMargins left="0.7" right="0.7" top="0.75" bottom="0.75" header="0.3" footer="0.3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76567-EF45-4A60-8B0D-FC1F69A1A7FE}">
  <dimension ref="A2:K21"/>
  <sheetViews>
    <sheetView zoomScaleNormal="100" workbookViewId="0">
      <selection activeCell="D10" sqref="D10"/>
    </sheetView>
  </sheetViews>
  <sheetFormatPr defaultRowHeight="14.4" x14ac:dyDescent="0.3"/>
  <cols>
    <col min="1" max="1" width="7.33203125" customWidth="1"/>
    <col min="2" max="2" width="30.6640625" customWidth="1"/>
    <col min="3" max="3" width="19.33203125" customWidth="1"/>
    <col min="4" max="4" width="10.6640625" bestFit="1" customWidth="1"/>
    <col min="11" max="11" width="9.5546875" bestFit="1" customWidth="1"/>
  </cols>
  <sheetData>
    <row r="2" spans="1:11" x14ac:dyDescent="0.3">
      <c r="A2" s="64" t="s">
        <v>25</v>
      </c>
      <c r="B2" s="64" t="s">
        <v>3</v>
      </c>
      <c r="C2" s="65" t="s">
        <v>23</v>
      </c>
      <c r="D2" s="63" t="s">
        <v>24</v>
      </c>
      <c r="E2" s="63"/>
      <c r="F2" s="63"/>
      <c r="G2" s="63"/>
      <c r="H2" s="63"/>
      <c r="I2" s="63"/>
      <c r="J2" s="63"/>
      <c r="K2" s="63"/>
    </row>
    <row r="3" spans="1:11" x14ac:dyDescent="0.3">
      <c r="A3" s="64"/>
      <c r="B3" s="64"/>
      <c r="C3" s="65"/>
      <c r="D3" s="60">
        <v>0.35</v>
      </c>
      <c r="E3" s="60">
        <v>0.45</v>
      </c>
      <c r="F3" s="60">
        <v>0.55000000000000004</v>
      </c>
      <c r="G3" s="60">
        <v>0.65</v>
      </c>
      <c r="H3" s="60">
        <v>0.75</v>
      </c>
      <c r="I3" s="60">
        <v>0.85</v>
      </c>
      <c r="J3" s="60">
        <v>0.95</v>
      </c>
      <c r="K3" s="60">
        <v>0.98</v>
      </c>
    </row>
    <row r="4" spans="1:11" ht="18" customHeight="1" x14ac:dyDescent="0.3">
      <c r="A4" s="2">
        <v>1</v>
      </c>
      <c r="B4" s="1"/>
      <c r="C4" s="2" t="s">
        <v>16</v>
      </c>
      <c r="D4" s="32">
        <f>D3*'Вводные+табл.1'!E24</f>
        <v>0.20107284551137222</v>
      </c>
      <c r="E4" s="32">
        <f>E3*'Вводные+табл.1'!E24</f>
        <v>0.2585222299431929</v>
      </c>
      <c r="F4" s="32">
        <f>F3*'Вводные+табл.1'!E24</f>
        <v>0.31597161437501353</v>
      </c>
      <c r="G4" s="32">
        <f>G3*'Вводные+табл.1'!E24</f>
        <v>0.37342099880683416</v>
      </c>
      <c r="H4" s="32">
        <f>H3*'Вводные+табл.1'!E24</f>
        <v>0.43087038323865479</v>
      </c>
      <c r="I4" s="32">
        <f>I3*'Вводные+табл.1'!E24</f>
        <v>0.48831976767047541</v>
      </c>
      <c r="J4" s="32">
        <f>J3*'Вводные+табл.1'!E24</f>
        <v>0.54576915210229604</v>
      </c>
      <c r="K4" s="33">
        <f>K3*'Вводные+табл.1'!E24</f>
        <v>0.56300396743184222</v>
      </c>
    </row>
    <row r="5" spans="1:11" ht="18" customHeight="1" x14ac:dyDescent="0.3">
      <c r="A5" s="52">
        <v>2</v>
      </c>
      <c r="B5" s="1"/>
      <c r="C5" s="2"/>
      <c r="D5" s="34">
        <f>0.1+0.44*(1-D3)^2</f>
        <v>0.28590000000000004</v>
      </c>
      <c r="E5" s="34">
        <f>0.1+0.44*(1-E3)^2</f>
        <v>0.23310000000000003</v>
      </c>
      <c r="F5" s="34">
        <f t="shared" ref="F5:K5" si="0">0.1+0.44*(1-F3)^2</f>
        <v>0.18909999999999999</v>
      </c>
      <c r="G5" s="34">
        <f t="shared" si="0"/>
        <v>0.15390000000000001</v>
      </c>
      <c r="H5" s="34">
        <f t="shared" si="0"/>
        <v>0.1275</v>
      </c>
      <c r="I5" s="34">
        <f t="shared" si="0"/>
        <v>0.10990000000000001</v>
      </c>
      <c r="J5" s="34">
        <f t="shared" si="0"/>
        <v>0.10110000000000001</v>
      </c>
      <c r="K5" s="36">
        <f t="shared" si="0"/>
        <v>0.100176</v>
      </c>
    </row>
    <row r="6" spans="1:11" ht="18" customHeight="1" x14ac:dyDescent="0.3">
      <c r="A6" s="52">
        <v>3</v>
      </c>
      <c r="B6" s="3" t="s">
        <v>14</v>
      </c>
      <c r="C6" s="2" t="s">
        <v>17</v>
      </c>
      <c r="D6" s="16">
        <v>3</v>
      </c>
      <c r="E6" s="16">
        <v>3</v>
      </c>
      <c r="F6" s="16">
        <v>3</v>
      </c>
      <c r="G6" s="16">
        <v>3</v>
      </c>
      <c r="H6" s="16">
        <v>3</v>
      </c>
      <c r="I6" s="16">
        <v>3</v>
      </c>
      <c r="J6" s="16">
        <v>3</v>
      </c>
      <c r="K6" s="16">
        <v>3</v>
      </c>
    </row>
    <row r="7" spans="1:11" ht="18" customHeight="1" x14ac:dyDescent="0.3">
      <c r="A7" s="52">
        <v>4</v>
      </c>
      <c r="B7" s="4"/>
      <c r="C7" s="2"/>
      <c r="D7" s="33">
        <f>'РАФ-6_4град _Су'!C11</f>
        <v>1.7305469794612931</v>
      </c>
      <c r="E7" s="33">
        <f>'РАФ-6_4град _Су'!C12</f>
        <v>1.4235864987531919</v>
      </c>
      <c r="F7" s="33">
        <f>'РАФ-6_4град _Су'!C13</f>
        <v>1.2010737852799798</v>
      </c>
      <c r="G7" s="33">
        <f>'РАФ-6_4град _Су'!C14</f>
        <v>1.0384562638025721</v>
      </c>
      <c r="H7" s="33">
        <f>'РАФ-6_4град _Су'!C15</f>
        <v>0.92364465048156097</v>
      </c>
      <c r="I7" s="33">
        <f>'РАФ-6_4град _Су'!C16</f>
        <v>0.85003502579373147</v>
      </c>
      <c r="J7" s="33">
        <f>'РАФ-6_4град _Су'!C17</f>
        <v>0.81403235712393007</v>
      </c>
      <c r="K7" s="33">
        <f>'РАФ-6_4град _Су'!C18</f>
        <v>0.81028172292136547</v>
      </c>
    </row>
    <row r="8" spans="1:11" ht="18" customHeight="1" x14ac:dyDescent="0.3">
      <c r="A8" s="52">
        <v>5</v>
      </c>
      <c r="B8" s="5" t="s">
        <v>15</v>
      </c>
      <c r="C8" s="48"/>
      <c r="D8" s="22">
        <f>'РАФ-6_1 μ'!F14</f>
        <v>35.503250252912316</v>
      </c>
      <c r="E8" s="22">
        <f>'РАФ-6_1 μ'!F13</f>
        <v>43.623606115532318</v>
      </c>
      <c r="F8" s="22">
        <f>'РАФ-6_1 μ'!F12</f>
        <v>50.233020717493424</v>
      </c>
      <c r="G8" s="22">
        <f>'РАФ-6_1 μ'!F11</f>
        <v>55.755910741026938</v>
      </c>
      <c r="H8" s="22">
        <f>'РАФ-6_1 μ'!F10</f>
        <v>59.546938796874983</v>
      </c>
      <c r="I8" s="22">
        <f>'РАФ-6_1 μ'!F9</f>
        <v>62.597557483066979</v>
      </c>
      <c r="J8" s="22">
        <f>'РАФ-6_1 μ'!F8</f>
        <v>63.337966852723028</v>
      </c>
      <c r="K8" s="22">
        <f>'РАФ-6_1 μ'!F7</f>
        <v>63.774101577205656</v>
      </c>
    </row>
    <row r="9" spans="1:11" ht="18" customHeight="1" x14ac:dyDescent="0.3">
      <c r="A9" s="52">
        <v>6</v>
      </c>
      <c r="B9" s="6"/>
      <c r="C9" s="2" t="s">
        <v>18</v>
      </c>
      <c r="D9" s="32">
        <f>1/D8</f>
        <v>2.8166435266528039E-2</v>
      </c>
      <c r="E9" s="32">
        <f t="shared" ref="E9:K9" si="1">1/E8</f>
        <v>2.2923368539308972E-2</v>
      </c>
      <c r="F9" s="32">
        <f t="shared" si="1"/>
        <v>1.9907224087197976E-2</v>
      </c>
      <c r="G9" s="32">
        <f t="shared" si="1"/>
        <v>1.7935318187963321E-2</v>
      </c>
      <c r="H9" s="32">
        <f t="shared" si="1"/>
        <v>1.6793474529583709E-2</v>
      </c>
      <c r="I9" s="32">
        <f t="shared" si="1"/>
        <v>1.5975064207105941E-2</v>
      </c>
      <c r="J9" s="32">
        <f t="shared" si="1"/>
        <v>1.5788318597678635E-2</v>
      </c>
      <c r="K9" s="32">
        <f t="shared" si="1"/>
        <v>1.5680346336034049E-2</v>
      </c>
    </row>
    <row r="10" spans="1:11" ht="18" customHeight="1" x14ac:dyDescent="0.3">
      <c r="A10" s="52">
        <v>7</v>
      </c>
      <c r="B10" s="1"/>
      <c r="C10" s="2" t="s">
        <v>19</v>
      </c>
      <c r="D10" s="18">
        <f>'Вводные+табл.1'!E13*'Для РАФ-6'!D4</f>
        <v>58.946515390113888</v>
      </c>
      <c r="E10" s="18">
        <f>'Вводные+табл.1'!E13*'Для РАФ-6'!E4</f>
        <v>75.788376930146441</v>
      </c>
      <c r="F10" s="18">
        <f>'Вводные+табл.1'!E13*'Для РАФ-6'!F4</f>
        <v>92.63023847017898</v>
      </c>
      <c r="G10" s="18">
        <f>'Вводные+табл.1'!E13*'Для РАФ-6'!G4</f>
        <v>109.47210001021151</v>
      </c>
      <c r="H10" s="18">
        <f>'Вводные+табл.1'!E13*'Для РАФ-6'!H4</f>
        <v>126.31396155024404</v>
      </c>
      <c r="I10" s="18">
        <f>'Вводные+табл.1'!E13*'Для РАФ-6'!I4</f>
        <v>143.15582309027658</v>
      </c>
      <c r="J10" s="18">
        <f>'Вводные+табл.1'!E13*'Для РАФ-6'!J4</f>
        <v>159.99768463030912</v>
      </c>
      <c r="K10" s="18">
        <f>'Вводные+табл.1'!E13*'Для РАФ-6'!K4</f>
        <v>165.05024309231888</v>
      </c>
    </row>
    <row r="11" spans="1:11" ht="18" customHeight="1" x14ac:dyDescent="0.3">
      <c r="A11" s="52">
        <v>8</v>
      </c>
      <c r="B11" s="1" t="s">
        <v>32</v>
      </c>
      <c r="C11" s="2" t="s">
        <v>16</v>
      </c>
      <c r="D11" s="34">
        <f>4 *'Вводные+табл.1'!E15 * SQRT(D4 * ('Вводные+табл.1'!E24- 'Для РАФ-6'!D4))</f>
        <v>8.7685151850857748E-2</v>
      </c>
      <c r="E11" s="34">
        <f>4 *'Вводные+табл.1'!E15 * SQRT(E4 * ('Вводные+табл.1'!E24- 'Для РАФ-6'!E4))</f>
        <v>9.1458265246672263E-2</v>
      </c>
      <c r="F11" s="34">
        <f>4 *'Вводные+табл.1'!E15 * SQRT(F4 * ('Вводные+табл.1'!E24- 'Для РАФ-6'!F4))</f>
        <v>9.1458265246672263E-2</v>
      </c>
      <c r="G11" s="34">
        <f>4 *'Вводные+табл.1'!E15 * SQRT(G4 * ('Вводные+табл.1'!E24- 'Для РАФ-6'!G4))</f>
        <v>8.7685151850857748E-2</v>
      </c>
      <c r="H11" s="34">
        <f>4 *'Вводные+табл.1'!E15 * SQRT(H4 * ('Вводные+табл.1'!E24- 'Для РАФ-6'!H4))</f>
        <v>7.9604202159575865E-2</v>
      </c>
      <c r="I11" s="34">
        <f>4 *'Вводные+табл.1'!E15 * SQRT(I4 * ('Вводные+табл.1'!E24- 'Для РАФ-6'!I4))</f>
        <v>6.5643306749390548E-2</v>
      </c>
      <c r="J11" s="34">
        <f>4 *'Вводные+табл.1'!E15 * SQRT(J4 * ('Вводные+табл.1'!E24- 'Для РАФ-6'!J4))</f>
        <v>4.006656977710802E-2</v>
      </c>
      <c r="K11" s="34">
        <f>4 *'Вводные+табл.1'!E15 * SQRT(K4 * ('Вводные+табл.1'!E24- 'Для РАФ-6'!K4))</f>
        <v>2.5737324225455681E-2</v>
      </c>
    </row>
    <row r="12" spans="1:11" ht="33.6" customHeight="1" x14ac:dyDescent="0.3">
      <c r="A12" s="52">
        <v>9</v>
      </c>
      <c r="B12" s="1"/>
      <c r="C12" s="2" t="s">
        <v>19</v>
      </c>
      <c r="D12" s="37">
        <f>SQRT(D10^2 + 'Вводные+табл.1'!E26^2)</f>
        <v>68.437447290201249</v>
      </c>
      <c r="E12" s="37">
        <f>SQRT(E10^2 + 'Вводные+табл.1'!F26^2)</f>
        <v>75.788376930146441</v>
      </c>
      <c r="F12" s="37">
        <f>SQRT(F10^2 + 'Вводные+табл.1'!G26^2)</f>
        <v>92.63023847017898</v>
      </c>
      <c r="G12" s="37">
        <f>SQRT(G10^2 + 'Вводные+табл.1'!H26^2)</f>
        <v>109.47210001021151</v>
      </c>
      <c r="H12" s="37">
        <f>SQRT(H10^2 + 'Вводные+табл.1'!I26^2)</f>
        <v>126.31396155024404</v>
      </c>
      <c r="I12" s="37">
        <f>SQRT(I10^2 + 'Вводные+табл.1'!J26^2)</f>
        <v>143.15582309027658</v>
      </c>
      <c r="J12" s="37">
        <f>SQRT(J10^2 + 'Вводные+табл.1'!K26^2)</f>
        <v>159.99768463030912</v>
      </c>
      <c r="K12" s="37">
        <f>SQRT(K10^2 + 'Вводные+табл.1'!L26^2)</f>
        <v>165.05024309231888</v>
      </c>
    </row>
    <row r="13" spans="1:11" ht="18" customHeight="1" x14ac:dyDescent="0.3">
      <c r="A13" s="52">
        <v>10</v>
      </c>
      <c r="B13" s="1"/>
      <c r="C13" s="2" t="s">
        <v>17</v>
      </c>
      <c r="D13" s="38">
        <f>DEGREES(ATAN('Вводные+табл.1'!E26/D10))</f>
        <v>30.534926972690716</v>
      </c>
      <c r="E13" s="38">
        <f>DEGREES(ATAN('Вводные+табл.1'!E26/E10))</f>
        <v>24.644946640853174</v>
      </c>
      <c r="F13" s="38">
        <f>DEGREES(ATAN('Вводные+табл.1'!E26/F10))</f>
        <v>20.574605483224854</v>
      </c>
      <c r="G13" s="38">
        <f>DEGREES(ATAN('Вводные+табл.1'!E26/G10))</f>
        <v>17.620908571208275</v>
      </c>
      <c r="H13" s="38">
        <f>DEGREES(ATAN('Вводные+табл.1'!E26/H10))</f>
        <v>15.390685366544307</v>
      </c>
      <c r="I13" s="38">
        <f>DEGREES(ATAN('Вводные+табл.1'!E26/I10))</f>
        <v>13.65198966082513</v>
      </c>
      <c r="J13" s="38">
        <f>DEGREES(ATAN('Вводные+табл.1'!E26/J10))</f>
        <v>12.260829111062044</v>
      </c>
      <c r="K13" s="38">
        <f>DEGREES(ATAN('Вводные+табл.1'!E26/K10))</f>
        <v>11.896353105017319</v>
      </c>
    </row>
    <row r="14" spans="1:11" ht="18" customHeight="1" x14ac:dyDescent="0.3">
      <c r="A14" s="52">
        <v>11</v>
      </c>
      <c r="B14" s="1"/>
      <c r="C14" s="2" t="s">
        <v>20</v>
      </c>
      <c r="D14" s="39">
        <f t="shared" ref="D14:J14" si="2">D11*(E4-D4)</f>
        <v>5.0374579976424994E-3</v>
      </c>
      <c r="E14" s="39">
        <f t="shared" si="2"/>
        <v>5.2542210396234953E-3</v>
      </c>
      <c r="F14" s="39">
        <f t="shared" si="2"/>
        <v>5.2542210396234953E-3</v>
      </c>
      <c r="G14" s="39">
        <f t="shared" si="2"/>
        <v>5.0374579976424951E-3</v>
      </c>
      <c r="H14" s="39">
        <f t="shared" si="2"/>
        <v>4.5732124122538397E-3</v>
      </c>
      <c r="I14" s="39">
        <f t="shared" si="2"/>
        <v>3.7711675648216631E-3</v>
      </c>
      <c r="J14" s="39">
        <f t="shared" si="2"/>
        <v>6.9053993099683312E-4</v>
      </c>
      <c r="K14" s="39">
        <f>K11*(K4-J4)</f>
        <v>4.4357803010238388E-4</v>
      </c>
    </row>
    <row r="15" spans="1:11" ht="18" customHeight="1" x14ac:dyDescent="0.3">
      <c r="A15" s="52">
        <v>12</v>
      </c>
      <c r="B15" s="1"/>
      <c r="C15" s="2" t="s">
        <v>21</v>
      </c>
      <c r="D15" s="40">
        <f>(D7^2 * 'Вводные+табл.1'!E14 * D12^2 * D14)/2</f>
        <v>43.232544160591878</v>
      </c>
      <c r="E15" s="40">
        <f>(E7^2 * 'Вводные+табл.1'!E14 * E12^2 * E14)/2</f>
        <v>37.421934764024591</v>
      </c>
      <c r="F15" s="40">
        <f>(F7^2 * 'Вводные+табл.1'!E14 * F12^2 * F14)/2</f>
        <v>39.792226871195687</v>
      </c>
      <c r="G15" s="40">
        <f>(G7^2 * 'Вводные+табл.1'!E14 * G12^2 * G14)/2</f>
        <v>39.832697802738366</v>
      </c>
      <c r="H15" s="40">
        <f>(H7^2 * 'Вводные+табл.1'!E14 * H12^2 * H14)/2</f>
        <v>38.087186143328488</v>
      </c>
      <c r="I15" s="40">
        <f>(I7^2 * 'Вводные+табл.1'!E14 * I12^2 * I14)/2</f>
        <v>34.16744259423546</v>
      </c>
      <c r="J15" s="40">
        <f>(J7^2 * 'Вводные+табл.1'!E14 * J12^2 * J14)/2</f>
        <v>7.1671169870814238</v>
      </c>
      <c r="K15" s="40">
        <f>(K7^2 * 'Вводные+табл.1'!E14 * K12^2 * K14)/2</f>
        <v>4.8542195461290394</v>
      </c>
    </row>
    <row r="16" spans="1:11" ht="18" customHeight="1" x14ac:dyDescent="0.3">
      <c r="A16" s="52">
        <v>13</v>
      </c>
      <c r="B16" s="1"/>
      <c r="C16" s="2" t="s">
        <v>17</v>
      </c>
      <c r="D16" s="18">
        <f t="shared" ref="D16:K16" si="3">D13+57.3*D9</f>
        <v>32.148863713462774</v>
      </c>
      <c r="E16" s="18">
        <f t="shared" si="3"/>
        <v>25.958455658155579</v>
      </c>
      <c r="F16" s="18">
        <f t="shared" si="3"/>
        <v>21.715289423421297</v>
      </c>
      <c r="G16" s="18">
        <f t="shared" si="3"/>
        <v>18.648602303378574</v>
      </c>
      <c r="H16" s="18">
        <f t="shared" si="3"/>
        <v>16.352951457089453</v>
      </c>
      <c r="I16" s="18">
        <f t="shared" si="3"/>
        <v>14.5673608398923</v>
      </c>
      <c r="J16" s="18">
        <f t="shared" si="3"/>
        <v>13.165499766709029</v>
      </c>
      <c r="K16" s="18">
        <f t="shared" si="3"/>
        <v>12.794836950072069</v>
      </c>
    </row>
    <row r="17" spans="1:11" ht="18" customHeight="1" x14ac:dyDescent="0.3">
      <c r="A17" s="52">
        <v>14</v>
      </c>
      <c r="B17" s="1"/>
      <c r="C17" s="2" t="s">
        <v>17</v>
      </c>
      <c r="D17" s="18">
        <f>D13+D6</f>
        <v>33.534926972690712</v>
      </c>
      <c r="E17" s="18">
        <f t="shared" ref="D17:K17" si="4">E13+E6</f>
        <v>27.644946640853174</v>
      </c>
      <c r="F17" s="18">
        <f t="shared" si="4"/>
        <v>23.574605483224854</v>
      </c>
      <c r="G17" s="18">
        <f t="shared" si="4"/>
        <v>20.620908571208275</v>
      </c>
      <c r="H17" s="18">
        <f t="shared" si="4"/>
        <v>18.390685366544307</v>
      </c>
      <c r="I17" s="18">
        <f t="shared" si="4"/>
        <v>16.65198966082513</v>
      </c>
      <c r="J17" s="18">
        <f t="shared" si="4"/>
        <v>15.260829111062044</v>
      </c>
      <c r="K17" s="18">
        <f t="shared" si="4"/>
        <v>14.896353105017319</v>
      </c>
    </row>
    <row r="18" spans="1:11" ht="18" customHeight="1" x14ac:dyDescent="0.3">
      <c r="A18" s="52">
        <v>15</v>
      </c>
      <c r="B18" s="1"/>
      <c r="C18" s="2" t="s">
        <v>21</v>
      </c>
      <c r="D18" s="41">
        <f>2*D15*COS(RADIANS(D16))</f>
        <v>73.207259653013693</v>
      </c>
      <c r="E18" s="41">
        <f>2*E15*COS(RADIANS(E16))</f>
        <v>67.292996265084824</v>
      </c>
      <c r="F18" s="41">
        <f t="shared" ref="F18:K18" si="5">2*F15*COS(RADIANS(F16))</f>
        <v>73.936653151084997</v>
      </c>
      <c r="G18" s="41">
        <f t="shared" si="5"/>
        <v>75.482763600501883</v>
      </c>
      <c r="H18" s="41">
        <f t="shared" si="5"/>
        <v>73.092775863634898</v>
      </c>
      <c r="I18" s="41">
        <f t="shared" si="5"/>
        <v>66.138096812288836</v>
      </c>
      <c r="J18" s="41">
        <f t="shared" si="5"/>
        <v>13.957476210330398</v>
      </c>
      <c r="K18" s="41">
        <f t="shared" si="5"/>
        <v>9.467371895175269</v>
      </c>
    </row>
    <row r="19" spans="1:11" ht="18" customHeight="1" x14ac:dyDescent="0.3">
      <c r="A19" s="52">
        <v>16</v>
      </c>
      <c r="B19" s="1"/>
      <c r="C19" s="2" t="s">
        <v>22</v>
      </c>
      <c r="D19" s="40">
        <f t="shared" ref="D19:K19" si="6">2*D15*D10*SIN(RADIANS(D16))</f>
        <v>2712.1218271864486</v>
      </c>
      <c r="E19" s="40">
        <f t="shared" si="6"/>
        <v>2482.8733342489845</v>
      </c>
      <c r="F19" s="40">
        <f t="shared" si="6"/>
        <v>2727.5737733932551</v>
      </c>
      <c r="G19" s="40">
        <f t="shared" si="6"/>
        <v>2788.6986792331468</v>
      </c>
      <c r="H19" s="40">
        <f t="shared" si="6"/>
        <v>2709.0770326724419</v>
      </c>
      <c r="I19" s="40">
        <f t="shared" si="6"/>
        <v>2460.4845771640948</v>
      </c>
      <c r="J19" s="40">
        <f t="shared" si="6"/>
        <v>522.36540084511194</v>
      </c>
      <c r="K19" s="40">
        <f t="shared" si="6"/>
        <v>354.86412586727522</v>
      </c>
    </row>
    <row r="20" spans="1:11" ht="18" customHeight="1" x14ac:dyDescent="0.3">
      <c r="A20" s="52">
        <v>17</v>
      </c>
      <c r="B20" s="1"/>
      <c r="C20" s="2" t="s">
        <v>21</v>
      </c>
      <c r="D20" s="18">
        <f>D18</f>
        <v>73.207259653013693</v>
      </c>
      <c r="E20" s="18">
        <f>D18+E18</f>
        <v>140.5002559180985</v>
      </c>
      <c r="F20" s="18">
        <f>SUM(D18,E18,F18)</f>
        <v>214.43690906918351</v>
      </c>
      <c r="G20" s="18">
        <f>D18+E18+F18+G18</f>
        <v>289.91967266968538</v>
      </c>
      <c r="H20" s="18">
        <f>D18+E18+F18+G18+H18</f>
        <v>363.01244853332025</v>
      </c>
      <c r="I20" s="18">
        <f>D18+E18+F18+G18+H18+I18</f>
        <v>429.15054534560909</v>
      </c>
      <c r="J20" s="18">
        <f>D18+E18+F18+G18+H18+I18+J18</f>
        <v>443.1080215559395</v>
      </c>
      <c r="K20" s="18">
        <f>SUM(D18:K18)</f>
        <v>452.57539345111479</v>
      </c>
    </row>
    <row r="21" spans="1:11" ht="18" customHeight="1" x14ac:dyDescent="0.3">
      <c r="A21" s="52">
        <v>18</v>
      </c>
      <c r="B21" s="1"/>
      <c r="C21" s="2" t="s">
        <v>22</v>
      </c>
      <c r="D21" s="22">
        <f>D19</f>
        <v>2712.1218271864486</v>
      </c>
      <c r="E21" s="22">
        <f>SUM(D19:E19)</f>
        <v>5194.9951614354331</v>
      </c>
      <c r="F21" s="22">
        <f>SUM(D19:F19)</f>
        <v>7922.5689348286887</v>
      </c>
      <c r="G21" s="22">
        <f>SUM(D19:G19)</f>
        <v>10711.267614061835</v>
      </c>
      <c r="H21" s="22">
        <f>SUM(D19:H19)</f>
        <v>13420.344646734276</v>
      </c>
      <c r="I21" s="22">
        <f>SUM(D19:I19)</f>
        <v>15880.82922389837</v>
      </c>
      <c r="J21" s="22">
        <f>SUM(D19:J19)</f>
        <v>16403.194624743483</v>
      </c>
      <c r="K21" s="22">
        <f>SUM(D19:K19)</f>
        <v>16758.058750610759</v>
      </c>
    </row>
  </sheetData>
  <mergeCells count="4">
    <mergeCell ref="D2:K2"/>
    <mergeCell ref="B2:B3"/>
    <mergeCell ref="A2:A3"/>
    <mergeCell ref="C2:C3"/>
  </mergeCells>
  <pageMargins left="0.7" right="0.7" top="0.75" bottom="0.75" header="0.3" footer="0.3"/>
  <pageSetup paperSize="9"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383C9-1B3D-4E74-8C15-95AA7F746346}">
  <dimension ref="A2:I9"/>
  <sheetViews>
    <sheetView workbookViewId="0">
      <selection activeCell="H14" sqref="H14"/>
    </sheetView>
  </sheetViews>
  <sheetFormatPr defaultRowHeight="14.4" x14ac:dyDescent="0.3"/>
  <cols>
    <col min="1" max="1" width="28.21875" customWidth="1"/>
    <col min="2" max="9" width="10.77734375" customWidth="1"/>
  </cols>
  <sheetData>
    <row r="2" spans="1:9" ht="15.6" x14ac:dyDescent="0.3">
      <c r="A2" s="61" t="s">
        <v>33</v>
      </c>
      <c r="B2" s="61"/>
      <c r="C2" s="61"/>
      <c r="D2" s="61"/>
      <c r="E2" s="61"/>
      <c r="F2" s="61"/>
      <c r="G2" s="61"/>
      <c r="H2" s="61"/>
      <c r="I2" s="61"/>
    </row>
    <row r="3" spans="1:9" ht="18" customHeight="1" x14ac:dyDescent="0.3">
      <c r="A3" s="66" t="s">
        <v>35</v>
      </c>
      <c r="B3" s="67" t="s">
        <v>34</v>
      </c>
      <c r="C3" s="67"/>
      <c r="D3" s="67"/>
      <c r="E3" s="67"/>
      <c r="F3" s="67"/>
      <c r="G3" s="67"/>
      <c r="H3" s="67"/>
      <c r="I3" s="67"/>
    </row>
    <row r="4" spans="1:9" ht="18" customHeight="1" x14ac:dyDescent="0.3">
      <c r="A4" s="66"/>
      <c r="B4" s="9">
        <f>'Для РАФ-6'!D3</f>
        <v>0.35</v>
      </c>
      <c r="C4" s="9">
        <f>'Для РАФ-6'!E3</f>
        <v>0.45</v>
      </c>
      <c r="D4" s="9">
        <f>'Для РАФ-6'!F3</f>
        <v>0.55000000000000004</v>
      </c>
      <c r="E4" s="9">
        <f>'Для РАФ-6'!G3</f>
        <v>0.65</v>
      </c>
      <c r="F4" s="9">
        <f>'Для РАФ-6'!H3</f>
        <v>0.75</v>
      </c>
      <c r="G4" s="9">
        <f>'Для РАФ-6'!I3</f>
        <v>0.85</v>
      </c>
      <c r="H4" s="9">
        <f>'Для РАФ-6'!J3</f>
        <v>0.95</v>
      </c>
      <c r="I4" s="9">
        <f>'Для РАФ-6'!K3</f>
        <v>0.98</v>
      </c>
    </row>
    <row r="5" spans="1:9" ht="18" customHeight="1" x14ac:dyDescent="0.3">
      <c r="A5" s="27" t="s">
        <v>36</v>
      </c>
      <c r="B5" s="11">
        <f>'Для РАФ-6'!D4*100</f>
        <v>20.107284551137223</v>
      </c>
      <c r="C5" s="11">
        <f>'Для РАФ-6'!E4*100</f>
        <v>25.852222994319291</v>
      </c>
      <c r="D5" s="11">
        <f>'Для РАФ-6'!F4*100</f>
        <v>31.597161437501352</v>
      </c>
      <c r="E5" s="11">
        <f>'Для РАФ-6'!G4*100</f>
        <v>37.342099880683413</v>
      </c>
      <c r="F5" s="11">
        <f>'Для РАФ-6'!H4*100</f>
        <v>43.087038323865478</v>
      </c>
      <c r="G5" s="11">
        <f>'Для РАФ-6'!I4*100</f>
        <v>48.831976767047543</v>
      </c>
      <c r="H5" s="11">
        <f>'Для РАФ-6'!J4*100</f>
        <v>54.5769152102296</v>
      </c>
      <c r="I5" s="11">
        <f>'Для РАФ-6'!K4*100</f>
        <v>56.300396743184223</v>
      </c>
    </row>
    <row r="6" spans="1:9" ht="18" customHeight="1" x14ac:dyDescent="0.3">
      <c r="A6" s="27" t="s">
        <v>37</v>
      </c>
      <c r="B6" s="11">
        <f>'Для РАФ-6'!D11*100</f>
        <v>8.768515185085775</v>
      </c>
      <c r="C6" s="11">
        <f>'Для РАФ-6'!E11*100</f>
        <v>9.1458265246672266</v>
      </c>
      <c r="D6" s="11">
        <f>'Для РАФ-6'!F11*100</f>
        <v>9.1458265246672266</v>
      </c>
      <c r="E6" s="11">
        <f>'Для РАФ-6'!G11*100</f>
        <v>8.768515185085775</v>
      </c>
      <c r="F6" s="11">
        <f>'Для РАФ-6'!H11*100</f>
        <v>7.960420215957587</v>
      </c>
      <c r="G6" s="11">
        <f>'Для РАФ-6'!I11*100</f>
        <v>6.5643306749390549</v>
      </c>
      <c r="H6" s="12">
        <f>'Для РАФ-6'!J11*100</f>
        <v>4.0066569777108016</v>
      </c>
      <c r="I6" s="11">
        <f>'Для РАФ-6'!K11*100</f>
        <v>2.573732422545568</v>
      </c>
    </row>
    <row r="7" spans="1:9" ht="18" customHeight="1" x14ac:dyDescent="0.3">
      <c r="A7" s="27" t="s">
        <v>39</v>
      </c>
      <c r="B7" s="11">
        <f>'Для РАФ-6'!D5*B6</f>
        <v>2.5069184914160236</v>
      </c>
      <c r="C7" s="11">
        <f>'Для РАФ-6'!E5*C6</f>
        <v>2.131892162899931</v>
      </c>
      <c r="D7" s="11">
        <f>'Для РАФ-6'!F5*D6</f>
        <v>1.7294757958145726</v>
      </c>
      <c r="E7" s="11">
        <f>'Для РАФ-6'!G5*E6</f>
        <v>1.3494744869847008</v>
      </c>
      <c r="F7" s="11">
        <f>'Для РАФ-6'!H5*F6</f>
        <v>1.0149535775345924</v>
      </c>
      <c r="G7" s="11">
        <f>'Для РАФ-6'!I5*G6</f>
        <v>0.72141994117580222</v>
      </c>
      <c r="H7" s="11">
        <f>'Для РАФ-6'!J5*H6</f>
        <v>0.40507302044656207</v>
      </c>
      <c r="I7" s="11">
        <f>'Для РАФ-6'!K5*I6</f>
        <v>0.2578262191609248</v>
      </c>
    </row>
    <row r="8" spans="1:9" ht="18" customHeight="1" x14ac:dyDescent="0.3">
      <c r="A8" s="27" t="s">
        <v>38</v>
      </c>
      <c r="B8" s="11">
        <f>'Для РАФ-6'!D17</f>
        <v>33.534926972690712</v>
      </c>
      <c r="C8" s="11">
        <f>'Для РАФ-6'!E17</f>
        <v>27.644946640853174</v>
      </c>
      <c r="D8" s="12">
        <f>'Для РАФ-6'!F17</f>
        <v>23.574605483224854</v>
      </c>
      <c r="E8" s="11">
        <f>'Для РАФ-6'!G17</f>
        <v>20.620908571208275</v>
      </c>
      <c r="F8" s="11">
        <f>'Для РАФ-6'!H17</f>
        <v>18.390685366544307</v>
      </c>
      <c r="G8" s="11">
        <f>'Для РАФ-6'!I17</f>
        <v>16.65198966082513</v>
      </c>
      <c r="H8" s="11">
        <f>'Для РАФ-6'!J17</f>
        <v>15.260829111062044</v>
      </c>
      <c r="I8" s="11">
        <f>'Для РАФ-6'!K17</f>
        <v>14.896353105017319</v>
      </c>
    </row>
    <row r="9" spans="1:9" ht="15.6" x14ac:dyDescent="0.3">
      <c r="A9" s="70" t="s">
        <v>40</v>
      </c>
      <c r="F9" s="71">
        <f>2*PI()*(F5/100)*TAN(RADIANS(F8))</f>
        <v>0.90008957571282888</v>
      </c>
    </row>
  </sheetData>
  <mergeCells count="2">
    <mergeCell ref="A3:A4"/>
    <mergeCell ref="B3:I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2619-2FEB-48CE-8E1C-5C73496EACE6}">
  <dimension ref="B2:C21"/>
  <sheetViews>
    <sheetView workbookViewId="0"/>
  </sheetViews>
  <sheetFormatPr defaultRowHeight="14.4" x14ac:dyDescent="0.3"/>
  <sheetData>
    <row r="2" spans="2:3" ht="33" customHeight="1" x14ac:dyDescent="0.3">
      <c r="B2" s="68" t="s">
        <v>29</v>
      </c>
      <c r="C2" s="68"/>
    </row>
    <row r="3" spans="2:3" x14ac:dyDescent="0.3">
      <c r="B3" s="31">
        <v>0.73</v>
      </c>
      <c r="C3" s="31">
        <v>0.08</v>
      </c>
    </row>
    <row r="4" spans="2:3" x14ac:dyDescent="0.3">
      <c r="B4" s="31">
        <v>0.81</v>
      </c>
      <c r="C4" s="31">
        <v>0.1</v>
      </c>
    </row>
    <row r="5" spans="2:3" x14ac:dyDescent="0.3">
      <c r="B5" s="31">
        <v>0.89</v>
      </c>
      <c r="C5" s="31">
        <v>0.12</v>
      </c>
    </row>
    <row r="6" spans="2:3" x14ac:dyDescent="0.3">
      <c r="B6" s="31">
        <v>0.98</v>
      </c>
      <c r="C6" s="31">
        <v>0.14000000000000001</v>
      </c>
    </row>
    <row r="7" spans="2:3" x14ac:dyDescent="0.3">
      <c r="B7" s="31">
        <v>1.0649999999999999</v>
      </c>
      <c r="C7" s="31">
        <v>0.16</v>
      </c>
    </row>
    <row r="10" spans="2:3" x14ac:dyDescent="0.3">
      <c r="B10" s="1" t="s">
        <v>28</v>
      </c>
      <c r="C10" s="29" t="s">
        <v>27</v>
      </c>
    </row>
    <row r="11" spans="2:3" x14ac:dyDescent="0.3">
      <c r="B11" s="50">
        <f>'Для РАФ-6'!D5</f>
        <v>0.28590000000000004</v>
      </c>
      <c r="C11" s="57">
        <f>( -0.3253 + SQRT( 0.3253^2 - 4 * -0.0486 *( -0.1315-B11 ) ) )/( 2 * -0.0486 )</f>
        <v>1.7305469794612931</v>
      </c>
    </row>
    <row r="12" spans="2:3" x14ac:dyDescent="0.3">
      <c r="B12" s="50">
        <f>'Для РАФ-6'!E5</f>
        <v>0.23310000000000003</v>
      </c>
      <c r="C12" s="57">
        <f t="shared" ref="C12:C18" si="0">( -0.3253 + SQRT( 0.3253^2 - 4 * -0.0486 *( -0.1315-B12 ) ) )/( 2 * -0.0486 )</f>
        <v>1.4235864987531919</v>
      </c>
    </row>
    <row r="13" spans="2:3" x14ac:dyDescent="0.3">
      <c r="B13" s="50">
        <f>'Для РАФ-6'!F5</f>
        <v>0.18909999999999999</v>
      </c>
      <c r="C13" s="57">
        <f t="shared" si="0"/>
        <v>1.2010737852799798</v>
      </c>
    </row>
    <row r="14" spans="2:3" x14ac:dyDescent="0.3">
      <c r="B14" s="50">
        <f>'Для РАФ-6'!G5</f>
        <v>0.15390000000000001</v>
      </c>
      <c r="C14" s="57">
        <f t="shared" si="0"/>
        <v>1.0384562638025721</v>
      </c>
    </row>
    <row r="15" spans="2:3" x14ac:dyDescent="0.3">
      <c r="B15" s="50">
        <f>'Для РАФ-6'!H5</f>
        <v>0.1275</v>
      </c>
      <c r="C15" s="50">
        <f t="shared" si="0"/>
        <v>0.92364465048156097</v>
      </c>
    </row>
    <row r="16" spans="2:3" x14ac:dyDescent="0.3">
      <c r="B16" s="50">
        <f>'Для РАФ-6'!I5</f>
        <v>0.10990000000000001</v>
      </c>
      <c r="C16" s="57">
        <f t="shared" si="0"/>
        <v>0.85003502579373147</v>
      </c>
    </row>
    <row r="17" spans="2:3" x14ac:dyDescent="0.3">
      <c r="B17" s="50">
        <f>'Для РАФ-6'!J5</f>
        <v>0.10110000000000001</v>
      </c>
      <c r="C17" s="50">
        <f t="shared" si="0"/>
        <v>0.81403235712393007</v>
      </c>
    </row>
    <row r="18" spans="2:3" x14ac:dyDescent="0.3">
      <c r="B18" s="57">
        <f>'Для РАФ-6'!K5</f>
        <v>0.100176</v>
      </c>
      <c r="C18" s="57">
        <f t="shared" si="0"/>
        <v>0.81028172292136547</v>
      </c>
    </row>
    <row r="21" spans="2:3" x14ac:dyDescent="0.3">
      <c r="B21" s="30"/>
    </row>
  </sheetData>
  <mergeCells count="1">
    <mergeCell ref="B2: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75CBE-BD33-422D-BB6D-91524BEF2EBC}">
  <dimension ref="A3:F40"/>
  <sheetViews>
    <sheetView zoomScale="120" zoomScaleNormal="120" workbookViewId="0"/>
  </sheetViews>
  <sheetFormatPr defaultRowHeight="14.4" x14ac:dyDescent="0.3"/>
  <cols>
    <col min="6" max="6" width="9.6640625" customWidth="1"/>
  </cols>
  <sheetData>
    <row r="3" spans="2:6" ht="12.6" customHeight="1" x14ac:dyDescent="0.3"/>
    <row r="4" spans="2:6" hidden="1" x14ac:dyDescent="0.3"/>
    <row r="5" spans="2:6" ht="34.200000000000003" customHeight="1" x14ac:dyDescent="0.3">
      <c r="B5" s="69" t="s">
        <v>29</v>
      </c>
      <c r="C5" s="69"/>
    </row>
    <row r="6" spans="2:6" x14ac:dyDescent="0.3">
      <c r="B6" s="45"/>
      <c r="C6" s="35" t="s">
        <v>30</v>
      </c>
      <c r="E6" s="47"/>
      <c r="F6" s="48" t="s">
        <v>30</v>
      </c>
    </row>
    <row r="7" spans="2:6" x14ac:dyDescent="0.3">
      <c r="B7" s="45">
        <v>0.08</v>
      </c>
      <c r="C7" s="45">
        <v>61.5</v>
      </c>
      <c r="E7" s="57">
        <f>'Для РАФ-6'!K5</f>
        <v>0.100176</v>
      </c>
      <c r="F7" s="49">
        <f>45833*E7^3 - 18893*E7^2 + 2371*E7 - 30.223</f>
        <v>63.774101577205656</v>
      </c>
    </row>
    <row r="8" spans="2:6" x14ac:dyDescent="0.3">
      <c r="B8" s="45">
        <v>0.1</v>
      </c>
      <c r="C8" s="45">
        <v>64</v>
      </c>
      <c r="E8" s="50">
        <f>'Для РАФ-6'!J5</f>
        <v>0.10110000000000001</v>
      </c>
      <c r="F8" s="49">
        <f>45833*E8^3 - 18893*E8^2 + 2371*E8 - 30.623</f>
        <v>63.337966852723028</v>
      </c>
    </row>
    <row r="9" spans="2:6" x14ac:dyDescent="0.3">
      <c r="B9" s="45">
        <v>0.12</v>
      </c>
      <c r="C9" s="45">
        <v>60.4</v>
      </c>
      <c r="E9" s="50">
        <f>'Для РАФ-6'!I5</f>
        <v>0.10990000000000001</v>
      </c>
      <c r="F9" s="49">
        <f t="shared" ref="F9:F10" si="0">45833*E9^3 - 18893*E9^2 + 2371*E9 - 30.623</f>
        <v>62.597557483066979</v>
      </c>
    </row>
    <row r="10" spans="2:6" x14ac:dyDescent="0.3">
      <c r="B10" s="45">
        <v>0.14000000000000001</v>
      </c>
      <c r="C10" s="45">
        <v>57.2</v>
      </c>
      <c r="E10" s="50">
        <f>'Для РАФ-6'!H5</f>
        <v>0.1275</v>
      </c>
      <c r="F10" s="49">
        <f t="shared" si="0"/>
        <v>59.546938796874983</v>
      </c>
    </row>
    <row r="11" spans="2:6" x14ac:dyDescent="0.3">
      <c r="B11" s="45">
        <v>0.16</v>
      </c>
      <c r="C11" s="45">
        <v>52.7</v>
      </c>
      <c r="E11" s="50">
        <f>'Для РАФ-6'!G5</f>
        <v>0.15390000000000001</v>
      </c>
      <c r="F11" s="51">
        <f>FORECAST(E11,F8:F10,E8:E10)</f>
        <v>55.755910741026938</v>
      </c>
    </row>
    <row r="12" spans="2:6" x14ac:dyDescent="0.3">
      <c r="B12" s="45">
        <v>0.18</v>
      </c>
      <c r="C12" s="46">
        <f>FORECAST(B12,C9:C11,B9:B11)</f>
        <v>49.066666666666677</v>
      </c>
      <c r="E12" s="50">
        <f>'Для РАФ-6'!F5</f>
        <v>0.18909999999999999</v>
      </c>
      <c r="F12" s="51">
        <f>FORECAST(E12,F9:F11,E9:E11)</f>
        <v>50.233020717493424</v>
      </c>
    </row>
    <row r="13" spans="2:6" x14ac:dyDescent="0.3">
      <c r="B13" s="45">
        <v>0.2</v>
      </c>
      <c r="C13" s="46">
        <f>FORECAST(B13,C10:C12,B10:B12)</f>
        <v>44.855555555555569</v>
      </c>
      <c r="E13" s="50">
        <f>'Для РАФ-6'!E5</f>
        <v>0.23310000000000003</v>
      </c>
      <c r="F13" s="51">
        <f>FORECAST(E13,F10:F12,E10:E12)</f>
        <v>43.623606115532318</v>
      </c>
    </row>
    <row r="14" spans="2:6" x14ac:dyDescent="0.3">
      <c r="B14" s="45">
        <v>0.22</v>
      </c>
      <c r="C14" s="46">
        <f t="shared" ref="C14:C15" si="1">FORECAST(B14,C11:C13,B11:B13)</f>
        <v>41.029629629629667</v>
      </c>
      <c r="E14" s="50">
        <f>'Для РАФ-6'!D5</f>
        <v>0.28590000000000004</v>
      </c>
      <c r="F14" s="51">
        <f>FORECAST(E14,F11:F13,E11:E13)</f>
        <v>35.503250252912316</v>
      </c>
    </row>
    <row r="15" spans="2:6" x14ac:dyDescent="0.3">
      <c r="B15" s="45">
        <v>0.24</v>
      </c>
      <c r="C15" s="46">
        <f t="shared" si="1"/>
        <v>36.946913580246964</v>
      </c>
    </row>
    <row r="16" spans="2:6" x14ac:dyDescent="0.3">
      <c r="B16" s="45">
        <v>0.26</v>
      </c>
      <c r="C16" s="46">
        <f>FORECAST(B16,C13:C15,B13:B15)</f>
        <v>33.035390946502119</v>
      </c>
    </row>
    <row r="17" spans="2:4" x14ac:dyDescent="0.3">
      <c r="B17" s="45">
        <v>0.28000000000000003</v>
      </c>
      <c r="C17" s="46">
        <f>FORECAST(B17,C14:C16,B14:B16)</f>
        <v>29.009739368998687</v>
      </c>
      <c r="D17" s="42"/>
    </row>
    <row r="18" spans="2:4" x14ac:dyDescent="0.3">
      <c r="B18" s="45">
        <v>0.3</v>
      </c>
      <c r="C18" s="46">
        <f>FORECAST(B18,C15:C17,B15:B17)</f>
        <v>25.060173754000985</v>
      </c>
      <c r="D18" s="44"/>
    </row>
    <row r="19" spans="2:4" x14ac:dyDescent="0.3">
      <c r="B19" s="45">
        <v>0.32</v>
      </c>
      <c r="C19" s="46">
        <f t="shared" ref="C19:C20" si="2">FORECAST(B19,C16:C18,B16:B18)</f>
        <v>21.059884163999456</v>
      </c>
      <c r="D19" s="42"/>
    </row>
    <row r="20" spans="2:4" x14ac:dyDescent="0.3">
      <c r="B20" s="45">
        <v>0.34</v>
      </c>
      <c r="C20" s="46">
        <f t="shared" si="2"/>
        <v>17.093410557333812</v>
      </c>
      <c r="D20" s="42"/>
    </row>
    <row r="21" spans="2:4" x14ac:dyDescent="0.3">
      <c r="D21" s="42"/>
    </row>
    <row r="22" spans="2:4" x14ac:dyDescent="0.3">
      <c r="D22" s="42"/>
    </row>
    <row r="23" spans="2:4" x14ac:dyDescent="0.3">
      <c r="D23" s="42"/>
    </row>
    <row r="24" spans="2:4" x14ac:dyDescent="0.3">
      <c r="D24" s="42"/>
    </row>
    <row r="25" spans="2:4" x14ac:dyDescent="0.3">
      <c r="B25" s="42"/>
      <c r="C25" s="42"/>
      <c r="D25" s="42"/>
    </row>
    <row r="26" spans="2:4" x14ac:dyDescent="0.3">
      <c r="B26" s="42"/>
      <c r="C26" s="42"/>
      <c r="D26" s="42"/>
    </row>
    <row r="35" spans="1:4" x14ac:dyDescent="0.3">
      <c r="A35" s="42"/>
      <c r="B35" s="42"/>
      <c r="C35" s="42"/>
      <c r="D35" s="42"/>
    </row>
    <row r="36" spans="1:4" x14ac:dyDescent="0.3">
      <c r="A36" s="42"/>
      <c r="B36" s="42"/>
      <c r="C36" s="43"/>
      <c r="D36" s="42"/>
    </row>
    <row r="37" spans="1:4" x14ac:dyDescent="0.3">
      <c r="A37" s="42"/>
      <c r="B37" s="42"/>
      <c r="C37" s="42"/>
      <c r="D37" s="42"/>
    </row>
    <row r="38" spans="1:4" x14ac:dyDescent="0.3">
      <c r="A38" s="42"/>
      <c r="B38" s="42"/>
      <c r="C38" s="42"/>
      <c r="D38" s="42"/>
    </row>
    <row r="39" spans="1:4" x14ac:dyDescent="0.3">
      <c r="A39" s="42"/>
      <c r="B39" s="42"/>
      <c r="C39" s="42"/>
      <c r="D39" s="42"/>
    </row>
    <row r="40" spans="1:4" x14ac:dyDescent="0.3">
      <c r="A40" s="42"/>
      <c r="B40" s="42"/>
      <c r="C40" s="42"/>
      <c r="D40" s="42"/>
    </row>
  </sheetData>
  <mergeCells count="1">
    <mergeCell ref="B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Вводные+табл.1</vt:lpstr>
      <vt:lpstr>Для РАФ-6</vt:lpstr>
      <vt:lpstr>Геометрия</vt:lpstr>
      <vt:lpstr>РАФ-6_4град _Су</vt:lpstr>
      <vt:lpstr>РАФ-6_1 μ</vt:lpstr>
      <vt:lpstr>'Вводные+табл.1'!Область_печати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lasttailor2017@gmail.com</dc:creator>
  <cp:lastModifiedBy>lasttailor2017@gmail.com</cp:lastModifiedBy>
  <cp:lastPrinted>2025-12-02T10:16:25Z</cp:lastPrinted>
  <dcterms:created xsi:type="dcterms:W3CDTF">2025-11-26T10:37:35Z</dcterms:created>
  <dcterms:modified xsi:type="dcterms:W3CDTF">2025-12-08T11:41:32Z</dcterms:modified>
</cp:coreProperties>
</file>