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stt\YandexDisk\Авиа\SkyPup\Проект\"/>
    </mc:Choice>
  </mc:AlternateContent>
  <xr:revisionPtr revIDLastSave="0" documentId="13_ncr:1_{F8F78F45-65E9-42EF-803B-6003EC6CDF90}" xr6:coauthVersionLast="37" xr6:coauthVersionMax="37" xr10:uidLastSave="{00000000-0000-0000-0000-000000000000}"/>
  <bookViews>
    <workbookView xWindow="0" yWindow="0" windowWidth="23040" windowHeight="9060" xr2:uid="{39B1AB00-51A1-42B3-B24F-3E42DA10053C}"/>
  </bookViews>
  <sheets>
    <sheet name="Вводные+табл.1" sheetId="1" r:id="rId1"/>
    <sheet name="Для ВС-2" sheetId="2" r:id="rId2"/>
    <sheet name="Геометрия" sheetId="13" r:id="rId3"/>
    <sheet name="К" sheetId="12" r:id="rId4"/>
  </sheets>
  <definedNames>
    <definedName name="_xlnm.Print_Area" localSheetId="0">'Вводные+табл.1'!$A$1:$E$29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C11" i="1"/>
  <c r="D11" i="1"/>
  <c r="G10" i="13" l="1"/>
  <c r="D8" i="13"/>
  <c r="E8" i="13"/>
  <c r="F8" i="13"/>
  <c r="G8" i="13"/>
  <c r="H8" i="13"/>
  <c r="I8" i="13"/>
  <c r="J8" i="13"/>
  <c r="C8" i="13"/>
  <c r="D7" i="13"/>
  <c r="E7" i="13"/>
  <c r="F7" i="13"/>
  <c r="G7" i="13"/>
  <c r="H7" i="13"/>
  <c r="I7" i="13"/>
  <c r="J7" i="13"/>
  <c r="C7" i="13"/>
  <c r="J6" i="13"/>
  <c r="I6" i="13"/>
  <c r="H6" i="13"/>
  <c r="G6" i="13"/>
  <c r="F6" i="13"/>
  <c r="E6" i="13"/>
  <c r="D6" i="13"/>
  <c r="C6" i="13"/>
  <c r="J5" i="13"/>
  <c r="I5" i="13"/>
  <c r="H5" i="13"/>
  <c r="G5" i="13"/>
  <c r="G9" i="13" s="1"/>
  <c r="F5" i="13"/>
  <c r="E5" i="13"/>
  <c r="D5" i="13"/>
  <c r="C5" i="13"/>
  <c r="J4" i="13"/>
  <c r="I4" i="13"/>
  <c r="H4" i="13"/>
  <c r="G4" i="13"/>
  <c r="F4" i="13"/>
  <c r="E4" i="13"/>
  <c r="D4" i="13"/>
  <c r="C4" i="13"/>
  <c r="E12" i="1" l="1"/>
  <c r="E9" i="1"/>
  <c r="K8" i="2"/>
  <c r="J8" i="2"/>
  <c r="I8" i="2"/>
  <c r="H8" i="2"/>
  <c r="G8" i="2"/>
  <c r="F8" i="2"/>
  <c r="E8" i="2"/>
  <c r="D8" i="2"/>
  <c r="M14" i="12"/>
  <c r="M13" i="12"/>
  <c r="N13" i="12" s="1"/>
  <c r="C13" i="12" s="1"/>
  <c r="M12" i="12"/>
  <c r="M11" i="12"/>
  <c r="M10" i="12"/>
  <c r="M9" i="12"/>
  <c r="M8" i="12"/>
  <c r="M7" i="12"/>
  <c r="I14" i="12"/>
  <c r="B14" i="12"/>
  <c r="I13" i="12"/>
  <c r="J13" i="12"/>
  <c r="I12" i="12"/>
  <c r="I11" i="12"/>
  <c r="I10" i="12"/>
  <c r="I9" i="12"/>
  <c r="I8" i="12"/>
  <c r="I7" i="12"/>
  <c r="E14" i="12"/>
  <c r="E13" i="12"/>
  <c r="F13" i="12"/>
  <c r="E12" i="12"/>
  <c r="E11" i="12"/>
  <c r="E10" i="12"/>
  <c r="E9" i="12"/>
  <c r="E8" i="12"/>
  <c r="E7" i="12"/>
  <c r="B13" i="12"/>
  <c r="B12" i="12"/>
  <c r="B11" i="12"/>
  <c r="B10" i="12"/>
  <c r="B9" i="12"/>
  <c r="B8" i="12"/>
  <c r="B7" i="12"/>
  <c r="K7" i="2"/>
  <c r="F7" i="12" l="1"/>
  <c r="N8" i="12"/>
  <c r="N9" i="12"/>
  <c r="N10" i="12"/>
  <c r="N11" i="12"/>
  <c r="N12" i="12"/>
  <c r="N14" i="12"/>
  <c r="N7" i="12"/>
  <c r="J8" i="12"/>
  <c r="J9" i="12"/>
  <c r="J10" i="12"/>
  <c r="J11" i="12"/>
  <c r="J12" i="12"/>
  <c r="J14" i="12"/>
  <c r="J7" i="12"/>
  <c r="C7" i="12" l="1"/>
  <c r="F8" i="12" l="1"/>
  <c r="C8" i="12" s="1"/>
  <c r="F9" i="12"/>
  <c r="C9" i="12" s="1"/>
  <c r="F10" i="12"/>
  <c r="C10" i="12" s="1"/>
  <c r="F11" i="12"/>
  <c r="C11" i="12" s="1"/>
  <c r="F12" i="12"/>
  <c r="C12" i="12" s="1"/>
  <c r="F14" i="12"/>
  <c r="C14" i="12" s="1"/>
  <c r="E13" i="1" l="1"/>
  <c r="E20" i="1"/>
  <c r="C20" i="1"/>
  <c r="E7" i="1"/>
  <c r="J9" i="2" l="1"/>
  <c r="I9" i="2"/>
  <c r="H9" i="2"/>
  <c r="D5" i="2" l="1"/>
  <c r="D7" i="2" s="1"/>
  <c r="K5" i="2" l="1"/>
  <c r="J5" i="2"/>
  <c r="J7" i="2" s="1"/>
  <c r="I5" i="2"/>
  <c r="I7" i="2" s="1"/>
  <c r="H5" i="2"/>
  <c r="H7" i="2" s="1"/>
  <c r="G5" i="2"/>
  <c r="G7" i="2" s="1"/>
  <c r="F5" i="2"/>
  <c r="F7" i="2" s="1"/>
  <c r="E5" i="2"/>
  <c r="E7" i="2" s="1"/>
  <c r="D13" i="1"/>
  <c r="D9" i="1"/>
  <c r="D7" i="1"/>
  <c r="C13" i="1"/>
  <c r="C9" i="1"/>
  <c r="C7" i="1"/>
  <c r="C21" i="1"/>
  <c r="E21" i="1"/>
  <c r="D20" i="1"/>
  <c r="D21" i="1" s="1"/>
  <c r="B20" i="1"/>
  <c r="B21" i="1" s="1"/>
  <c r="B13" i="1"/>
  <c r="B9" i="1"/>
  <c r="B7" i="1"/>
  <c r="C22" i="1" l="1"/>
  <c r="C23" i="1" s="1"/>
  <c r="C24" i="1" s="1"/>
  <c r="C25" i="1" s="1"/>
  <c r="C28" i="1" s="1"/>
  <c r="B22" i="1"/>
  <c r="B23" i="1" s="1"/>
  <c r="B24" i="1" s="1"/>
  <c r="B25" i="1" s="1"/>
  <c r="B28" i="1" s="1"/>
  <c r="K9" i="2"/>
  <c r="G9" i="2"/>
  <c r="E11" i="1"/>
  <c r="D22" i="1" l="1"/>
  <c r="D23" i="1" s="1"/>
  <c r="D24" i="1" s="1"/>
  <c r="D25" i="1" s="1"/>
  <c r="C26" i="1"/>
  <c r="B26" i="1"/>
  <c r="E22" i="1"/>
  <c r="E23" i="1" s="1"/>
  <c r="C29" i="1"/>
  <c r="B29" i="1"/>
  <c r="F9" i="2"/>
  <c r="D26" i="1" l="1"/>
  <c r="E24" i="1"/>
  <c r="D4" i="2" s="1"/>
  <c r="D10" i="2" s="1"/>
  <c r="E26" i="1"/>
  <c r="D28" i="1"/>
  <c r="D29" i="1"/>
  <c r="E9" i="2"/>
  <c r="D13" i="2" l="1"/>
  <c r="D17" i="2" s="1"/>
  <c r="K4" i="2"/>
  <c r="K11" i="2" s="1"/>
  <c r="E25" i="1"/>
  <c r="E28" i="1" s="1"/>
  <c r="G4" i="2"/>
  <c r="G10" i="2" s="1"/>
  <c r="G12" i="2" s="1"/>
  <c r="F4" i="2"/>
  <c r="F11" i="2" s="1"/>
  <c r="H4" i="2"/>
  <c r="D11" i="2"/>
  <c r="J4" i="2"/>
  <c r="E4" i="2"/>
  <c r="E10" i="2" s="1"/>
  <c r="E12" i="2" s="1"/>
  <c r="I4" i="2"/>
  <c r="I11" i="2" s="1"/>
  <c r="D12" i="2"/>
  <c r="D9" i="2"/>
  <c r="F14" i="2" l="1"/>
  <c r="G13" i="2"/>
  <c r="G16" i="2" s="1"/>
  <c r="G11" i="2"/>
  <c r="G14" i="2" s="1"/>
  <c r="G15" i="2" s="1"/>
  <c r="K10" i="2"/>
  <c r="K12" i="2" s="1"/>
  <c r="I10" i="2"/>
  <c r="I12" i="2" s="1"/>
  <c r="E11" i="2"/>
  <c r="E14" i="2" s="1"/>
  <c r="E15" i="2" s="1"/>
  <c r="E13" i="2"/>
  <c r="E16" i="2" s="1"/>
  <c r="I14" i="2"/>
  <c r="K14" i="2"/>
  <c r="J10" i="2"/>
  <c r="J11" i="2"/>
  <c r="J14" i="2" s="1"/>
  <c r="D14" i="2"/>
  <c r="D15" i="2" s="1"/>
  <c r="E29" i="1"/>
  <c r="H10" i="2"/>
  <c r="H11" i="2"/>
  <c r="H14" i="2" s="1"/>
  <c r="F10" i="2"/>
  <c r="F12" i="2" s="1"/>
  <c r="F15" i="2" s="1"/>
  <c r="D16" i="2"/>
  <c r="G19" i="2" l="1"/>
  <c r="G17" i="2"/>
  <c r="K13" i="2"/>
  <c r="K17" i="2" s="1"/>
  <c r="E17" i="2"/>
  <c r="K15" i="2"/>
  <c r="I13" i="2"/>
  <c r="I16" i="2" s="1"/>
  <c r="I15" i="2"/>
  <c r="E19" i="2"/>
  <c r="E18" i="2"/>
  <c r="G18" i="2"/>
  <c r="H12" i="2"/>
  <c r="H15" i="2" s="1"/>
  <c r="H13" i="2"/>
  <c r="F13" i="2"/>
  <c r="F16" i="2" s="1"/>
  <c r="F18" i="2" s="1"/>
  <c r="J12" i="2"/>
  <c r="J15" i="2" s="1"/>
  <c r="J13" i="2"/>
  <c r="D18" i="2"/>
  <c r="D19" i="2"/>
  <c r="K16" i="2" l="1"/>
  <c r="K18" i="2" s="1"/>
  <c r="I18" i="2"/>
  <c r="I17" i="2"/>
  <c r="I19" i="2"/>
  <c r="F19" i="2"/>
  <c r="G21" i="2" s="1"/>
  <c r="J16" i="2"/>
  <c r="J18" i="2" s="1"/>
  <c r="J17" i="2"/>
  <c r="F17" i="2"/>
  <c r="H16" i="2"/>
  <c r="H19" i="2" s="1"/>
  <c r="H17" i="2"/>
  <c r="D21" i="2"/>
  <c r="E21" i="2"/>
  <c r="G20" i="2"/>
  <c r="F20" i="2"/>
  <c r="D20" i="2"/>
  <c r="E20" i="2"/>
  <c r="K19" i="2" l="1"/>
  <c r="F21" i="2"/>
  <c r="H21" i="2"/>
  <c r="I21" i="2"/>
  <c r="H18" i="2"/>
  <c r="J19" i="2"/>
  <c r="J21" i="2" s="1"/>
  <c r="K21" i="2" l="1"/>
  <c r="I20" i="2"/>
  <c r="H20" i="2"/>
  <c r="K20" i="2"/>
  <c r="J20" i="2"/>
</calcChain>
</file>

<file path=xl/sharedStrings.xml><?xml version="1.0" encoding="utf-8"?>
<sst xmlns="http://schemas.openxmlformats.org/spreadsheetml/2006/main" count="53" uniqueCount="39">
  <si>
    <t xml:space="preserve">Примечание </t>
  </si>
  <si>
    <t xml:space="preserve">Необходимо снизить значение </t>
  </si>
  <si>
    <t xml:space="preserve">Желаемое КПД винта </t>
  </si>
  <si>
    <t>Вычисляемая величина</t>
  </si>
  <si>
    <t>Профиль</t>
  </si>
  <si>
    <t xml:space="preserve">Мак. допустимая окружная скорость винта, </t>
  </si>
  <si>
    <t xml:space="preserve">Расчётная скорость отрыва самолёта, </t>
  </si>
  <si>
    <t xml:space="preserve">Вариант 1 при </t>
  </si>
  <si>
    <t>V(м/с) = V(км/ч) : 3,6</t>
  </si>
  <si>
    <t>Мощность двигателя, N (ватт) P (Вт) = 746 ⋅ P (л.с.)</t>
  </si>
  <si>
    <t xml:space="preserve">Критический радиус винта (м), </t>
  </si>
  <si>
    <t>Обороты двигателя, n (об в мин)</t>
  </si>
  <si>
    <t>α</t>
  </si>
  <si>
    <r>
      <t xml:space="preserve">                                      где </t>
    </r>
    <r>
      <rPr>
        <i/>
        <sz val="11"/>
        <color theme="1"/>
        <rFont val="Calibri"/>
        <family val="2"/>
        <charset val="204"/>
        <scheme val="minor"/>
      </rPr>
      <t xml:space="preserve"> b=</t>
    </r>
    <r>
      <rPr>
        <sz val="11"/>
        <color theme="1"/>
        <rFont val="Calibri"/>
        <family val="2"/>
        <charset val="204"/>
        <scheme val="minor"/>
      </rPr>
      <t xml:space="preserve">0,08                               </t>
    </r>
  </si>
  <si>
    <t>K</t>
  </si>
  <si>
    <t>м</t>
  </si>
  <si>
    <t>град</t>
  </si>
  <si>
    <t>рад</t>
  </si>
  <si>
    <t>м/с</t>
  </si>
  <si>
    <t>м2</t>
  </si>
  <si>
    <t>Н</t>
  </si>
  <si>
    <t>Вт</t>
  </si>
  <si>
    <t>Размерность</t>
  </si>
  <si>
    <t xml:space="preserve">Относительный радиус </t>
  </si>
  <si>
    <t>№ п/п</t>
  </si>
  <si>
    <t>Мощность двигателя, л.с</t>
  </si>
  <si>
    <r>
      <t xml:space="preserve">Критическая окружная скорость, </t>
    </r>
    <r>
      <rPr>
        <sz val="12"/>
        <color theme="1"/>
        <rFont val="Calibri"/>
        <family val="2"/>
        <charset val="204"/>
      </rPr>
      <t>&gt;</t>
    </r>
    <r>
      <rPr>
        <sz val="12"/>
        <color theme="1"/>
        <rFont val="Times New Roman"/>
        <family val="1"/>
        <charset val="204"/>
      </rPr>
      <t>250м/с</t>
    </r>
  </si>
  <si>
    <t>ВС-2</t>
  </si>
  <si>
    <t>Крейсерская скорость, км/ч</t>
  </si>
  <si>
    <t>Вариант 2 при                                             м/с</t>
  </si>
  <si>
    <t>Геометрические данные, являющиеся исходными при изготовлении воздушного винта</t>
  </si>
  <si>
    <t>Геометрические размеры сечения винта</t>
  </si>
  <si>
    <t xml:space="preserve">Относительные радиусы сечения </t>
  </si>
  <si>
    <t>Радиус r, см.</t>
  </si>
  <si>
    <t>Хорда b, см.</t>
  </si>
  <si>
    <t>Толщина с, см. (                )</t>
  </si>
  <si>
    <t>Угол установки ϕ, град.</t>
  </si>
  <si>
    <t>Шаг винта, м. (Н)</t>
  </si>
  <si>
    <t>Радиус винта, м. (R)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</si>
</sst>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0F1115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0F1115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164" fontId="4" fillId="0" borderId="1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4" fillId="0" borderId="2" xfId="0" applyFont="1" applyBorder="1"/>
    <xf numFmtId="0" fontId="6" fillId="0" borderId="1" xfId="0" applyFont="1" applyBorder="1" applyAlignment="1">
      <alignment horizontal="center" vertical="center"/>
    </xf>
    <xf numFmtId="0" fontId="4" fillId="0" borderId="3" xfId="0" applyFont="1" applyBorder="1"/>
    <xf numFmtId="165" fontId="6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/>
    <xf numFmtId="1" fontId="6" fillId="0" borderId="1" xfId="0" applyNumberFormat="1" applyFont="1" applyBorder="1" applyAlignment="1">
      <alignment horizontal="center" vertical="center"/>
    </xf>
    <xf numFmtId="0" fontId="7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8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Fill="1"/>
    <xf numFmtId="164" fontId="0" fillId="0" borderId="1" xfId="0" applyNumberFormat="1" applyBorder="1"/>
    <xf numFmtId="1" fontId="0" fillId="0" borderId="1" xfId="0" applyNumberFormat="1" applyFill="1" applyBorder="1"/>
    <xf numFmtId="2" fontId="0" fillId="0" borderId="1" xfId="0" applyNumberFormat="1" applyBorder="1"/>
    <xf numFmtId="0" fontId="4" fillId="0" borderId="0" xfId="0" applyFont="1"/>
    <xf numFmtId="164" fontId="5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1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</xdr:colOff>
      <xdr:row>19</xdr:row>
      <xdr:rowOff>30480</xdr:rowOff>
    </xdr:from>
    <xdr:ext cx="1043940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7D52D2C5-D188-4F4C-B287-56F64621EA6E}"/>
                </a:ext>
              </a:extLst>
            </xdr:cNvPr>
            <xdr:cNvSpPr txBox="1"/>
          </xdr:nvSpPr>
          <xdr:spPr>
            <a:xfrm>
              <a:off x="7620" y="762000"/>
              <a:ext cx="104394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2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ос</m:t>
                        </m:r>
                      </m:sub>
                    </m:sSub>
                    <m:r>
                      <a:rPr lang="ru-RU" sz="1200" b="0" i="0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ж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/0,85</m:t>
                    </m:r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7D52D2C5-D188-4F4C-B287-56F64621EA6E}"/>
                </a:ext>
              </a:extLst>
            </xdr:cNvPr>
            <xdr:cNvSpPr txBox="1"/>
          </xdr:nvSpPr>
          <xdr:spPr>
            <a:xfrm>
              <a:off x="7620" y="762000"/>
              <a:ext cx="104394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200" b="0" i="0">
                  <a:latin typeface="Cambria Math" panose="02040503050406030204" pitchFamily="18" charset="0"/>
                </a:rPr>
                <a:t>ос=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200" b="0" i="0">
                  <a:latin typeface="Cambria Math" panose="02040503050406030204" pitchFamily="18" charset="0"/>
                </a:rPr>
                <a:t>ж/0,85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0</xdr:col>
      <xdr:colOff>0</xdr:colOff>
      <xdr:row>20</xdr:row>
      <xdr:rowOff>30480</xdr:rowOff>
    </xdr:from>
    <xdr:ext cx="1563248" cy="1910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0485673-B68D-4B77-BF33-14629AE93FD4}"/>
                </a:ext>
              </a:extLst>
            </xdr:cNvPr>
            <xdr:cNvSpPr txBox="1"/>
          </xdr:nvSpPr>
          <xdr:spPr>
            <a:xfrm>
              <a:off x="0" y="4198620"/>
              <a:ext cx="1563248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=4</m:t>
                    </m:r>
                    <m:d>
                      <m:dPr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d>
                          <m:dPr>
                            <m:ctrlPr>
                              <a:rPr lang="ru-RU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1/</m:t>
                            </m:r>
                            <m:sSubSup>
                              <m:sSubSupPr>
                                <m:ctrlP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𝜂</m:t>
                                </m:r>
                              </m:e>
                              <m:sub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  <m:t>ос</m:t>
                                </m:r>
                              </m:sub>
                              <m:sup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</m:e>
                        </m:d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d>
                          <m:dPr>
                            <m:ctrlPr>
                              <a:rPr lang="ru-RU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1/</m:t>
                            </m:r>
                            <m:sSub>
                              <m:sSubPr>
                                <m:ctrlP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𝜂</m:t>
                                </m:r>
                              </m:e>
                              <m:sub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  <m:t>ос</m:t>
                                </m:r>
                              </m:sub>
                            </m:sSub>
                          </m:e>
                        </m:d>
                      </m:e>
                    </m: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0485673-B68D-4B77-BF33-14629AE93FD4}"/>
                </a:ext>
              </a:extLst>
            </xdr:cNvPr>
            <xdr:cNvSpPr txBox="1"/>
          </xdr:nvSpPr>
          <xdr:spPr>
            <a:xfrm>
              <a:off x="0" y="4198620"/>
              <a:ext cx="1563248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𝐵</a:t>
              </a:r>
              <a:r>
                <a:rPr lang="ru-RU" sz="1100" b="0" i="0">
                  <a:latin typeface="Cambria Math" panose="02040503050406030204" pitchFamily="18" charset="0"/>
                </a:rPr>
                <a:t>=4((1/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ос^2 )−(1/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ос 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21</xdr:row>
      <xdr:rowOff>38100</xdr:rowOff>
    </xdr:from>
    <xdr:ext cx="77072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3B7BB92D-72CB-42F0-AB32-A2910277FCC6}"/>
                </a:ext>
              </a:extLst>
            </xdr:cNvPr>
            <xdr:cNvSpPr txBox="1"/>
          </xdr:nvSpPr>
          <xdr:spPr>
            <a:xfrm>
              <a:off x="0" y="4457700"/>
              <a:ext cx="77072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𝑁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ж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/</m:t>
                    </m:r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3B7BB92D-72CB-42F0-AB32-A2910277FCC6}"/>
                </a:ext>
              </a:extLst>
            </xdr:cNvPr>
            <xdr:cNvSpPr txBox="1"/>
          </xdr:nvSpPr>
          <xdr:spPr>
            <a:xfrm>
              <a:off x="0" y="4457700"/>
              <a:ext cx="77072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𝑃=𝑁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ж/</a:t>
              </a:r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0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38100</xdr:colOff>
      <xdr:row>22</xdr:row>
      <xdr:rowOff>45720</xdr:rowOff>
    </xdr:from>
    <xdr:ext cx="987450" cy="1779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2992B9B0-C4EE-4133-9566-FFE9BD58C3E1}"/>
                </a:ext>
              </a:extLst>
            </xdr:cNvPr>
            <xdr:cNvSpPr txBox="1"/>
          </xdr:nvSpPr>
          <xdr:spPr>
            <a:xfrm>
              <a:off x="38100" y="4716780"/>
              <a:ext cx="987450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ом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=2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  <m:sSubSup>
                      <m:sSubSup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0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2992B9B0-C4EE-4133-9566-FFE9BD58C3E1}"/>
                </a:ext>
              </a:extLst>
            </xdr:cNvPr>
            <xdr:cNvSpPr txBox="1"/>
          </xdr:nvSpPr>
          <xdr:spPr>
            <a:xfrm>
              <a:off x="38100" y="4716780"/>
              <a:ext cx="987450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𝑆</a:t>
              </a:r>
              <a:r>
                <a:rPr lang="ru-RU" sz="1100" b="0" i="0">
                  <a:latin typeface="Cambria Math" panose="02040503050406030204" pitchFamily="18" charset="0"/>
                </a:rPr>
                <a:t>_ом=2</a:t>
              </a:r>
              <a:r>
                <a:rPr lang="en-US" sz="1100" b="0" i="0">
                  <a:latin typeface="Cambria Math" panose="02040503050406030204" pitchFamily="18" charset="0"/>
                </a:rPr>
                <a:t>𝑃/𝐵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𝜌𝑉_0^2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23</xdr:row>
      <xdr:rowOff>22860</xdr:rowOff>
    </xdr:from>
    <xdr:ext cx="768415" cy="2049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1E6CB6D7-BDE1-40C5-803E-4A0E4E5E9C6B}"/>
                </a:ext>
              </a:extLst>
            </xdr:cNvPr>
            <xdr:cNvSpPr txBox="1"/>
          </xdr:nvSpPr>
          <xdr:spPr>
            <a:xfrm>
              <a:off x="0" y="1485900"/>
              <a:ext cx="768415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𝑅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𝑆</m:t>
                            </m:r>
                          </m:e>
                          <m:sub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ом</m:t>
                            </m:r>
                          </m:sub>
                        </m:s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/</m:t>
                        </m:r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1E6CB6D7-BDE1-40C5-803E-4A0E4E5E9C6B}"/>
                </a:ext>
              </a:extLst>
            </xdr:cNvPr>
            <xdr:cNvSpPr txBox="1"/>
          </xdr:nvSpPr>
          <xdr:spPr>
            <a:xfrm>
              <a:off x="0" y="1485900"/>
              <a:ext cx="768415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𝑅=√(𝑆_</a:t>
              </a:r>
              <a:r>
                <a:rPr lang="ru-RU" sz="1100" b="0" i="0">
                  <a:latin typeface="Cambria Math" panose="02040503050406030204" pitchFamily="18" charset="0"/>
                </a:rPr>
                <a:t>ом/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30480</xdr:colOff>
      <xdr:row>24</xdr:row>
      <xdr:rowOff>45720</xdr:rowOff>
    </xdr:from>
    <xdr:ext cx="48994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F9959297-6CA9-426B-A559-F904CC15A3D5}"/>
                </a:ext>
              </a:extLst>
            </xdr:cNvPr>
            <xdr:cNvSpPr txBox="1"/>
          </xdr:nvSpPr>
          <xdr:spPr>
            <a:xfrm>
              <a:off x="30480" y="2034540"/>
              <a:ext cx="48994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𝑢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Ω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𝑅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F9959297-6CA9-426B-A559-F904CC15A3D5}"/>
                </a:ext>
              </a:extLst>
            </xdr:cNvPr>
            <xdr:cNvSpPr txBox="1"/>
          </xdr:nvSpPr>
          <xdr:spPr>
            <a:xfrm>
              <a:off x="30480" y="2034540"/>
              <a:ext cx="48994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𝑢=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Ω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2179320</xdr:colOff>
      <xdr:row>28</xdr:row>
      <xdr:rowOff>30480</xdr:rowOff>
    </xdr:from>
    <xdr:ext cx="1851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F8C66A16-B3DF-48A6-B884-3B242FA6FADD}"/>
                </a:ext>
              </a:extLst>
            </xdr:cNvPr>
            <xdr:cNvSpPr txBox="1"/>
          </xdr:nvSpPr>
          <xdr:spPr>
            <a:xfrm>
              <a:off x="2179320" y="5204460"/>
              <a:ext cx="1851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ж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F8C66A16-B3DF-48A6-B884-3B242FA6FADD}"/>
                </a:ext>
              </a:extLst>
            </xdr:cNvPr>
            <xdr:cNvSpPr txBox="1"/>
          </xdr:nvSpPr>
          <xdr:spPr>
            <a:xfrm>
              <a:off x="2179320" y="5204460"/>
              <a:ext cx="1851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ж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4</xdr:col>
      <xdr:colOff>114300</xdr:colOff>
      <xdr:row>17</xdr:row>
      <xdr:rowOff>30480</xdr:rowOff>
    </xdr:from>
    <xdr:ext cx="1851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38A7E563-40B5-434F-B9CF-5EABBD30864C}"/>
                </a:ext>
              </a:extLst>
            </xdr:cNvPr>
            <xdr:cNvSpPr txBox="1"/>
          </xdr:nvSpPr>
          <xdr:spPr>
            <a:xfrm>
              <a:off x="4998720" y="396240"/>
              <a:ext cx="1851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ж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38A7E563-40B5-434F-B9CF-5EABBD30864C}"/>
                </a:ext>
              </a:extLst>
            </xdr:cNvPr>
            <xdr:cNvSpPr txBox="1"/>
          </xdr:nvSpPr>
          <xdr:spPr>
            <a:xfrm>
              <a:off x="4998720" y="396240"/>
              <a:ext cx="1851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ж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2933700</xdr:colOff>
      <xdr:row>4</xdr:row>
      <xdr:rowOff>53340</xdr:rowOff>
    </xdr:from>
    <xdr:ext cx="298608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995AE45E-6A24-4D9F-BE61-FD44949751CA}"/>
                </a:ext>
              </a:extLst>
            </xdr:cNvPr>
            <xdr:cNvSpPr txBox="1"/>
          </xdr:nvSpPr>
          <xdr:spPr>
            <a:xfrm>
              <a:off x="2933700" y="746760"/>
              <a:ext cx="29860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𝑢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к. гр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995AE45E-6A24-4D9F-BE61-FD44949751CA}"/>
                </a:ext>
              </a:extLst>
            </xdr:cNvPr>
            <xdr:cNvSpPr txBox="1"/>
          </xdr:nvSpPr>
          <xdr:spPr>
            <a:xfrm>
              <a:off x="2933700" y="746760"/>
              <a:ext cx="29860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𝑢</a:t>
              </a:r>
              <a:r>
                <a:rPr lang="ru-RU" sz="1100" b="0" i="0">
                  <a:latin typeface="Cambria Math" panose="02040503050406030204" pitchFamily="18" charset="0"/>
                </a:rPr>
                <a:t>_(к. гр)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2545080</xdr:colOff>
      <xdr:row>8</xdr:row>
      <xdr:rowOff>76200</xdr:rowOff>
    </xdr:from>
    <xdr:ext cx="631776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8C8DE4A3-831C-437B-9404-00AD4D479104}"/>
                </a:ext>
              </a:extLst>
            </xdr:cNvPr>
            <xdr:cNvSpPr txBox="1"/>
          </xdr:nvSpPr>
          <xdr:spPr>
            <a:xfrm>
              <a:off x="2545080" y="1272540"/>
              <a:ext cx="631776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ru-RU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𝑉</m:t>
                      </m:r>
                    </m:e>
                    <m:sub>
                      <m:r>
                        <a:rPr lang="ru-RU" sz="1100" b="0" i="1">
                          <a:latin typeface="Cambria Math" panose="02040503050406030204" pitchFamily="18" charset="0"/>
                        </a:rPr>
                        <m:t>отр</m:t>
                      </m:r>
                    </m:sub>
                  </m:sSub>
                  <m:r>
                    <a:rPr lang="ru-RU" sz="1100" b="0" i="1">
                      <a:latin typeface="Cambria Math" panose="02040503050406030204" pitchFamily="18" charset="0"/>
                    </a:rPr>
                    <m:t> </m:t>
                  </m:r>
                  <m:d>
                    <m:dPr>
                      <m:ctrlPr>
                        <a:rPr lang="ru-RU" sz="1100" b="0" i="1">
                          <a:latin typeface="Cambria Math" panose="02040503050406030204" pitchFamily="18" charset="0"/>
                        </a:rPr>
                      </m:ctrlPr>
                    </m:dPr>
                    <m:e>
                      <m:r>
                        <a:rPr lang="ru-RU" sz="1100" b="0" i="1">
                          <a:latin typeface="Cambria Math" panose="02040503050406030204" pitchFamily="18" charset="0"/>
                        </a:rPr>
                        <m:t>м/с</m:t>
                      </m:r>
                    </m:e>
                  </m:d>
                </m:oMath>
              </a14:m>
              <a:r>
                <a:rPr lang="ru-RU" sz="1100"/>
                <a:t> </a:t>
              </a:r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8C8DE4A3-831C-437B-9404-00AD4D479104}"/>
                </a:ext>
              </a:extLst>
            </xdr:cNvPr>
            <xdr:cNvSpPr txBox="1"/>
          </xdr:nvSpPr>
          <xdr:spPr>
            <a:xfrm>
              <a:off x="2545080" y="1272540"/>
              <a:ext cx="631776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_отр  (м/с)</a:t>
              </a:r>
              <a:r>
                <a:rPr lang="ru-RU" sz="1100"/>
                <a:t> </a:t>
              </a:r>
            </a:p>
          </xdr:txBody>
        </xdr:sp>
      </mc:Fallback>
    </mc:AlternateContent>
    <xdr:clientData/>
  </xdr:oneCellAnchor>
  <xdr:oneCellAnchor>
    <xdr:from>
      <xdr:col>0</xdr:col>
      <xdr:colOff>1089660</xdr:colOff>
      <xdr:row>10</xdr:row>
      <xdr:rowOff>60960</xdr:rowOff>
    </xdr:from>
    <xdr:ext cx="782265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F3E84E2-6491-4974-BBA6-81009C6DC2A4}"/>
                </a:ext>
              </a:extLst>
            </xdr:cNvPr>
            <xdr:cNvSpPr txBox="1"/>
          </xdr:nvSpPr>
          <xdr:spPr>
            <a:xfrm>
              <a:off x="1089660" y="1508760"/>
              <a:ext cx="782265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0 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≈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1,2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отр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F3E84E2-6491-4974-BBA6-81009C6DC2A4}"/>
                </a:ext>
              </a:extLst>
            </xdr:cNvPr>
            <xdr:cNvSpPr txBox="1"/>
          </xdr:nvSpPr>
          <xdr:spPr>
            <a:xfrm>
              <a:off x="1089660" y="1508760"/>
              <a:ext cx="782265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_(</a:t>
              </a:r>
              <a:r>
                <a:rPr lang="en-US" sz="1100" b="0" i="0">
                  <a:latin typeface="Cambria Math" panose="02040503050406030204" pitchFamily="18" charset="0"/>
                </a:rPr>
                <a:t>0 </a:t>
              </a:r>
              <a:r>
                <a:rPr lang="ru-RU" sz="1100" b="0" i="0">
                  <a:latin typeface="Cambria Math" panose="02040503050406030204" pitchFamily="18" charset="0"/>
                </a:rPr>
                <a:t>)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≈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1,2𝑉_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отр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1104900</xdr:colOff>
      <xdr:row>11</xdr:row>
      <xdr:rowOff>60960</xdr:rowOff>
    </xdr:from>
    <xdr:ext cx="1008418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9D94B9B0-E8D2-4F9A-AB19-656CBB17EB2C}"/>
                </a:ext>
              </a:extLst>
            </xdr:cNvPr>
            <xdr:cNvSpPr txBox="1"/>
          </xdr:nvSpPr>
          <xdr:spPr>
            <a:xfrm>
              <a:off x="1104900" y="2766060"/>
              <a:ext cx="100841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крейсерская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9D94B9B0-E8D2-4F9A-AB19-656CBB17EB2C}"/>
                </a:ext>
              </a:extLst>
            </xdr:cNvPr>
            <xdr:cNvSpPr txBox="1"/>
          </xdr:nvSpPr>
          <xdr:spPr>
            <a:xfrm>
              <a:off x="1104900" y="2766060"/>
              <a:ext cx="100841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0=𝑉_</a:t>
              </a:r>
              <a:r>
                <a:rPr lang="ru-RU" sz="1100" b="0" i="0">
                  <a:latin typeface="Cambria Math" panose="02040503050406030204" pitchFamily="18" charset="0"/>
                </a:rPr>
                <a:t>крейсерская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15240</xdr:colOff>
      <xdr:row>12</xdr:row>
      <xdr:rowOff>60960</xdr:rowOff>
    </xdr:from>
    <xdr:ext cx="24471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88E8C977-BBCD-46FC-A1E6-4A663634723D}"/>
                </a:ext>
              </a:extLst>
            </xdr:cNvPr>
            <xdr:cNvSpPr txBox="1"/>
          </xdr:nvSpPr>
          <xdr:spPr>
            <a:xfrm>
              <a:off x="15240" y="2263140"/>
              <a:ext cx="24471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Ω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d>
                      <m:d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1/с</m:t>
                        </m:r>
                      </m:e>
                    </m:d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обороты в мин.</m:t>
                        </m:r>
                      </m:e>
                    </m:d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х 0,1047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88E8C977-BBCD-46FC-A1E6-4A663634723D}"/>
                </a:ext>
              </a:extLst>
            </xdr:cNvPr>
            <xdr:cNvSpPr txBox="1"/>
          </xdr:nvSpPr>
          <xdr:spPr>
            <a:xfrm>
              <a:off x="15240" y="2263140"/>
              <a:ext cx="24471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Ω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, (1/с)=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𝑛(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обороты в мин.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 х 0,1047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15240</xdr:colOff>
      <xdr:row>13</xdr:row>
      <xdr:rowOff>45720</xdr:rowOff>
    </xdr:from>
    <xdr:ext cx="198586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83E7B4EE-FF77-4605-992B-571F710DDB4E}"/>
                </a:ext>
              </a:extLst>
            </xdr:cNvPr>
            <xdr:cNvSpPr txBox="1"/>
          </xdr:nvSpPr>
          <xdr:spPr>
            <a:xfrm>
              <a:off x="15240" y="2499360"/>
              <a:ext cx="198586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b="0" i="1">
                        <a:latin typeface="Cambria Math" panose="02040503050406030204" pitchFamily="18" charset="0"/>
                      </a:rPr>
                      <m:t>Плотность воздуха, 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=1,2237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83E7B4EE-FF77-4605-992B-571F710DDB4E}"/>
                </a:ext>
              </a:extLst>
            </xdr:cNvPr>
            <xdr:cNvSpPr txBox="1"/>
          </xdr:nvSpPr>
          <xdr:spPr>
            <a:xfrm>
              <a:off x="15240" y="2499360"/>
              <a:ext cx="198586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b="0" i="0">
                  <a:latin typeface="Cambria Math" panose="02040503050406030204" pitchFamily="18" charset="0"/>
                </a:rPr>
                <a:t>Плотность воздуха, 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𝜌=1,2237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2125980</xdr:colOff>
      <xdr:row>3</xdr:row>
      <xdr:rowOff>53340</xdr:rowOff>
    </xdr:from>
    <xdr:ext cx="351378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6DBAF048-0A28-486F-844A-8585EF34F6D3}"/>
                </a:ext>
              </a:extLst>
            </xdr:cNvPr>
            <xdr:cNvSpPr txBox="1"/>
          </xdr:nvSpPr>
          <xdr:spPr>
            <a:xfrm>
              <a:off x="2125980" y="746760"/>
              <a:ext cx="35137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крит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6DBAF048-0A28-486F-844A-8585EF34F6D3}"/>
                </a:ext>
              </a:extLst>
            </xdr:cNvPr>
            <xdr:cNvSpPr txBox="1"/>
          </xdr:nvSpPr>
          <xdr:spPr>
            <a:xfrm>
              <a:off x="2125980" y="746760"/>
              <a:ext cx="35137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𝑅</a:t>
              </a:r>
              <a:r>
                <a:rPr lang="ru-RU" sz="1100" b="0" i="0">
                  <a:latin typeface="Cambria Math" panose="02040503050406030204" pitchFamily="18" charset="0"/>
                </a:rPr>
                <a:t>_крит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38100</xdr:colOff>
      <xdr:row>25</xdr:row>
      <xdr:rowOff>22860</xdr:rowOff>
    </xdr:from>
    <xdr:ext cx="1984967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372E619C-EEDB-43CF-AA43-8037457C168E}"/>
                </a:ext>
              </a:extLst>
            </xdr:cNvPr>
            <xdr:cNvSpPr txBox="1"/>
          </xdr:nvSpPr>
          <xdr:spPr>
            <a:xfrm>
              <a:off x="38100" y="5991860"/>
              <a:ext cx="1984967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=(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+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0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+4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/</m:t>
                        </m:r>
                        <m:d>
                          <m:d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𝜌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𝑆</m:t>
                                </m:r>
                              </m:e>
                              <m:sub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ом</m:t>
                                </m:r>
                              </m:sub>
                            </m:sSub>
                          </m:e>
                        </m:d>
                      </m:e>
                    </m:rad>
                    <m:r>
                      <a:rPr lang="ru-RU" sz="1100" b="0" i="1">
                        <a:latin typeface="Cambria Math" panose="02040503050406030204" pitchFamily="18" charset="0"/>
                      </a:rPr>
                      <m:t>)/2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372E619C-EEDB-43CF-AA43-8037457C168E}"/>
                </a:ext>
              </a:extLst>
            </xdr:cNvPr>
            <xdr:cNvSpPr txBox="1"/>
          </xdr:nvSpPr>
          <xdr:spPr>
            <a:xfrm>
              <a:off x="38100" y="5991860"/>
              <a:ext cx="1984967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1=(𝑉_0+√(𝑉_0^2+4𝑃</a:t>
              </a:r>
              <a:r>
                <a:rPr lang="ru-RU" sz="1100" b="0" i="0">
                  <a:latin typeface="Cambria Math" panose="02040503050406030204" pitchFamily="18" charset="0"/>
                </a:rPr>
                <a:t>/</a:t>
              </a:r>
              <a:r>
                <a:rPr lang="en-US" sz="1100" b="0" i="0">
                  <a:latin typeface="Cambria Math" panose="02040503050406030204" pitchFamily="18" charset="0"/>
                </a:rPr>
                <a:t>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𝜌𝑆_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ом ) 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ru-RU" sz="1100" b="0" i="0">
                  <a:latin typeface="Cambria Math" panose="02040503050406030204" pitchFamily="18" charset="0"/>
                </a:rPr>
                <a:t>)/2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2545080</xdr:colOff>
      <xdr:row>7</xdr:row>
      <xdr:rowOff>76200</xdr:rowOff>
    </xdr:from>
    <xdr:ext cx="720647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6F006776-2D9D-4D13-A032-7B64441FFF9B}"/>
                </a:ext>
              </a:extLst>
            </xdr:cNvPr>
            <xdr:cNvSpPr txBox="1"/>
          </xdr:nvSpPr>
          <xdr:spPr>
            <a:xfrm>
              <a:off x="2545080" y="1775460"/>
              <a:ext cx="720647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ru-RU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𝑉</m:t>
                      </m:r>
                    </m:e>
                    <m:sub>
                      <m:r>
                        <a:rPr lang="ru-RU" sz="1100" b="0" i="1">
                          <a:latin typeface="Cambria Math" panose="02040503050406030204" pitchFamily="18" charset="0"/>
                        </a:rPr>
                        <m:t>отр</m:t>
                      </m:r>
                    </m:sub>
                  </m:sSub>
                  <m:r>
                    <a:rPr lang="ru-RU" sz="1100" b="0" i="1">
                      <a:latin typeface="Cambria Math" panose="02040503050406030204" pitchFamily="18" charset="0"/>
                    </a:rPr>
                    <m:t> </m:t>
                  </m:r>
                  <m:d>
                    <m:dPr>
                      <m:ctrlPr>
                        <a:rPr lang="ru-RU" sz="1100" b="0" i="1">
                          <a:latin typeface="Cambria Math" panose="02040503050406030204" pitchFamily="18" charset="0"/>
                        </a:rPr>
                      </m:ctrlPr>
                    </m:dPr>
                    <m:e>
                      <m:r>
                        <a:rPr lang="ru-RU" sz="1100" b="0" i="1">
                          <a:latin typeface="Cambria Math" panose="02040503050406030204" pitchFamily="18" charset="0"/>
                        </a:rPr>
                        <m:t>км/ч</m:t>
                      </m:r>
                    </m:e>
                  </m:d>
                </m:oMath>
              </a14:m>
              <a:r>
                <a:rPr lang="ru-RU" sz="1100"/>
                <a:t> </a:t>
              </a:r>
            </a:p>
          </xdr:txBody>
        </xdr:sp>
      </mc:Choice>
      <mc:Fallback xmlns="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6F006776-2D9D-4D13-A032-7B64441FFF9B}"/>
                </a:ext>
              </a:extLst>
            </xdr:cNvPr>
            <xdr:cNvSpPr txBox="1"/>
          </xdr:nvSpPr>
          <xdr:spPr>
            <a:xfrm>
              <a:off x="2545080" y="1775460"/>
              <a:ext cx="720647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_отр  (км/ч)</a:t>
              </a:r>
              <a:r>
                <a:rPr lang="ru-RU" sz="1100"/>
                <a:t> </a:t>
              </a:r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60960</xdr:colOff>
      <xdr:row>3</xdr:row>
      <xdr:rowOff>30480</xdr:rowOff>
    </xdr:from>
    <xdr:ext cx="44993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3ED0140-3442-4F26-B567-30DC76C82E6F}"/>
                </a:ext>
              </a:extLst>
            </xdr:cNvPr>
            <xdr:cNvSpPr txBox="1"/>
          </xdr:nvSpPr>
          <xdr:spPr>
            <a:xfrm>
              <a:off x="563880" y="579120"/>
              <a:ext cx="4499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𝑟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𝑅</m:t>
                    </m:r>
                    <m:acc>
                      <m:accPr>
                        <m:chr m:val="̅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3ED0140-3442-4F26-B567-30DC76C82E6F}"/>
                </a:ext>
              </a:extLst>
            </xdr:cNvPr>
            <xdr:cNvSpPr txBox="1"/>
          </xdr:nvSpPr>
          <xdr:spPr>
            <a:xfrm>
              <a:off x="563880" y="579120"/>
              <a:ext cx="4499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𝑟=𝑅𝑟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38100</xdr:colOff>
      <xdr:row>4</xdr:row>
      <xdr:rowOff>22860</xdr:rowOff>
    </xdr:from>
    <xdr:ext cx="1400319" cy="1806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F5569E6D-C275-48DE-A6D7-81CD2E05D80C}"/>
                </a:ext>
              </a:extLst>
            </xdr:cNvPr>
            <xdr:cNvSpPr txBox="1"/>
          </xdr:nvSpPr>
          <xdr:spPr>
            <a:xfrm>
              <a:off x="541020" y="800100"/>
              <a:ext cx="1400319" cy="1806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  <m:r>
                      <a:rPr lang="en-US" sz="1100" b="0" i="1">
                        <a:latin typeface="Cambria Math" panose="02040503050406030204" pitchFamily="18" charset="0"/>
                      </a:rPr>
                      <m:t>=0,1+0,44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(1−</m:t>
                        </m:r>
                        <m:acc>
                          <m:accPr>
                            <m:chr m:val="̅"/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𝑟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)</m:t>
                            </m:r>
                          </m:e>
                        </m:acc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F5569E6D-C275-48DE-A6D7-81CD2E05D80C}"/>
                </a:ext>
              </a:extLst>
            </xdr:cNvPr>
            <xdr:cNvSpPr txBox="1"/>
          </xdr:nvSpPr>
          <xdr:spPr>
            <a:xfrm>
              <a:off x="541020" y="800100"/>
              <a:ext cx="1400319" cy="1806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r>
                <a:rPr lang="en-US" sz="1100" b="0" i="0">
                  <a:latin typeface="Cambria Math" panose="02040503050406030204" pitchFamily="18" charset="0"/>
                </a:rPr>
                <a:t>=0,1+0,44〖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(1−(𝑟)) ̅〗^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45720</xdr:colOff>
      <xdr:row>9</xdr:row>
      <xdr:rowOff>15240</xdr:rowOff>
    </xdr:from>
    <xdr:ext cx="46609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D0AF2618-5082-4F44-AE57-3EA6DD2DB46A}"/>
                </a:ext>
              </a:extLst>
            </xdr:cNvPr>
            <xdr:cNvSpPr txBox="1"/>
          </xdr:nvSpPr>
          <xdr:spPr>
            <a:xfrm>
              <a:off x="548640" y="1935480"/>
              <a:ext cx="46609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𝑢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Ω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𝑟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D0AF2618-5082-4F44-AE57-3EA6DD2DB46A}"/>
                </a:ext>
              </a:extLst>
            </xdr:cNvPr>
            <xdr:cNvSpPr txBox="1"/>
          </xdr:nvSpPr>
          <xdr:spPr>
            <a:xfrm>
              <a:off x="548640" y="1935480"/>
              <a:ext cx="46609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𝑢=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Ω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𝑟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22860</xdr:colOff>
      <xdr:row>10</xdr:row>
      <xdr:rowOff>15240</xdr:rowOff>
    </xdr:from>
    <xdr:ext cx="1076257" cy="2049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9F5A30E4-EEFB-4AD0-8A6B-6238D5A39106}"/>
                </a:ext>
              </a:extLst>
            </xdr:cNvPr>
            <xdr:cNvSpPr txBox="1"/>
          </xdr:nvSpPr>
          <xdr:spPr>
            <a:xfrm>
              <a:off x="525780" y="2164080"/>
              <a:ext cx="1076257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𝑏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=4</m:t>
                    </m:r>
                    <m:acc>
                      <m:accPr>
                        <m:chr m:val="̅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𝑏</m:t>
                        </m:r>
                      </m:e>
                    </m:acc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𝑅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9F5A30E4-EEFB-4AD0-8A6B-6238D5A39106}"/>
                </a:ext>
              </a:extLst>
            </xdr:cNvPr>
            <xdr:cNvSpPr txBox="1"/>
          </xdr:nvSpPr>
          <xdr:spPr>
            <a:xfrm>
              <a:off x="525780" y="2164080"/>
              <a:ext cx="1076257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𝑏=4𝑏 ̅√(𝑟(𝑅−𝑟))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30480</xdr:colOff>
      <xdr:row>6</xdr:row>
      <xdr:rowOff>30480</xdr:rowOff>
    </xdr:from>
    <xdr:ext cx="181332" cy="1829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25A1D8D-FDA1-4522-9946-249951CB517E}"/>
                </a:ext>
              </a:extLst>
            </xdr:cNvPr>
            <xdr:cNvSpPr txBox="1"/>
          </xdr:nvSpPr>
          <xdr:spPr>
            <a:xfrm>
              <a:off x="533400" y="1264920"/>
              <a:ext cx="181332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25A1D8D-FDA1-4522-9946-249951CB517E}"/>
                </a:ext>
              </a:extLst>
            </xdr:cNvPr>
            <xdr:cNvSpPr txBox="1"/>
          </xdr:nvSpPr>
          <xdr:spPr>
            <a:xfrm>
              <a:off x="533400" y="1264920"/>
              <a:ext cx="181332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𝐶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𝑦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22860</xdr:colOff>
      <xdr:row>8</xdr:row>
      <xdr:rowOff>30480</xdr:rowOff>
    </xdr:from>
    <xdr:ext cx="54681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EF320435-7237-4F40-AFF1-6D04508EA9BC}"/>
                </a:ext>
              </a:extLst>
            </xdr:cNvPr>
            <xdr:cNvSpPr txBox="1"/>
          </xdr:nvSpPr>
          <xdr:spPr>
            <a:xfrm>
              <a:off x="525780" y="1722120"/>
              <a:ext cx="54681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𝜇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=1/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𝐾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EF320435-7237-4F40-AFF1-6D04508EA9BC}"/>
                </a:ext>
              </a:extLst>
            </xdr:cNvPr>
            <xdr:cNvSpPr txBox="1"/>
          </xdr:nvSpPr>
          <xdr:spPr>
            <a:xfrm>
              <a:off x="525780" y="1722120"/>
              <a:ext cx="54681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𝜇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=1/𝐾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30480</xdr:colOff>
      <xdr:row>11</xdr:row>
      <xdr:rowOff>38100</xdr:rowOff>
    </xdr:from>
    <xdr:ext cx="978345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60C09E25-475A-40FE-9221-CDA5BBDFD273}"/>
                </a:ext>
              </a:extLst>
            </xdr:cNvPr>
            <xdr:cNvSpPr txBox="1"/>
          </xdr:nvSpPr>
          <xdr:spPr>
            <a:xfrm>
              <a:off x="533400" y="2049780"/>
              <a:ext cx="97834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𝑊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+</m:t>
                        </m:r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60C09E25-475A-40FE-9221-CDA5BBDFD273}"/>
                </a:ext>
              </a:extLst>
            </xdr:cNvPr>
            <xdr:cNvSpPr txBox="1"/>
          </xdr:nvSpPr>
          <xdr:spPr>
            <a:xfrm>
              <a:off x="533400" y="2049780"/>
              <a:ext cx="97834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𝑊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1=√(𝑢^2+𝑉_1^2 )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68580</xdr:colOff>
      <xdr:row>12</xdr:row>
      <xdr:rowOff>30480</xdr:rowOff>
    </xdr:from>
    <xdr:ext cx="11084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18BA5DB2-60A9-4555-AA8C-ACC6F0652E7F}"/>
                </a:ext>
              </a:extLst>
            </xdr:cNvPr>
            <xdr:cNvSpPr txBox="1"/>
          </xdr:nvSpPr>
          <xdr:spPr>
            <a:xfrm>
              <a:off x="571500" y="2834640"/>
              <a:ext cx="11084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ru-RU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𝛽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1</m:t>
                      </m:r>
                    </m:sub>
                  </m:sSub>
                  <m:r>
                    <a:rPr lang="en-US" sz="1100" b="0" i="1">
                      <a:latin typeface="Cambria Math" panose="02040503050406030204" pitchFamily="18" charset="0"/>
                    </a:rPr>
                    <m:t>=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𝑎𝑟𝑐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 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𝑡𝑔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(</m:t>
                  </m:r>
                  <m:f>
                    <m:fPr>
                      <m:type m:val="lin"/>
                      <m:ctrlPr>
                        <a:rPr lang="en-US" sz="11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b>
                        <m:sSubPr>
                          <m:ctrlPr>
                            <a:rPr lang="en-US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𝑉</m:t>
                          </m:r>
                        </m:e>
                        <m:sub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1</m:t>
                          </m:r>
                        </m:sub>
                      </m:sSub>
                    </m:num>
                    <m:den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𝑢</m:t>
                      </m:r>
                    </m:den>
                  </m:f>
                </m:oMath>
              </a14:m>
              <a:r>
                <a:rPr lang="en-US" sz="1100"/>
                <a:t>)</a:t>
              </a:r>
              <a:endParaRPr lang="ru-RU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18BA5DB2-60A9-4555-AA8C-ACC6F0652E7F}"/>
                </a:ext>
              </a:extLst>
            </xdr:cNvPr>
            <xdr:cNvSpPr txBox="1"/>
          </xdr:nvSpPr>
          <xdr:spPr>
            <a:xfrm>
              <a:off x="571500" y="2834640"/>
              <a:ext cx="11084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𝛽_</a:t>
              </a:r>
              <a:r>
                <a:rPr lang="en-US" sz="1100" b="0" i="0">
                  <a:latin typeface="Cambria Math" panose="02040503050406030204" pitchFamily="18" charset="0"/>
                </a:rPr>
                <a:t>1=𝑎𝑟𝑐 𝑡𝑔(𝑉_1∕𝑢</a:t>
              </a:r>
              <a:r>
                <a:rPr lang="en-US" sz="1100"/>
                <a:t>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53340</xdr:colOff>
      <xdr:row>13</xdr:row>
      <xdr:rowOff>30480</xdr:rowOff>
    </xdr:from>
    <xdr:ext cx="63119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CBBE14B9-4C50-414A-B46C-B76728D0EBD5}"/>
                </a:ext>
              </a:extLst>
            </xdr:cNvPr>
            <xdr:cNvSpPr txBox="1"/>
          </xdr:nvSpPr>
          <xdr:spPr>
            <a:xfrm>
              <a:off x="556260" y="3063240"/>
              <a:ext cx="63119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𝑆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𝑏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𝑅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CBBE14B9-4C50-414A-B46C-B76728D0EBD5}"/>
                </a:ext>
              </a:extLst>
            </xdr:cNvPr>
            <xdr:cNvSpPr txBox="1"/>
          </xdr:nvSpPr>
          <xdr:spPr>
            <a:xfrm>
              <a:off x="556260" y="3063240"/>
              <a:ext cx="63119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𝑆=𝑏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38100</xdr:colOff>
      <xdr:row>14</xdr:row>
      <xdr:rowOff>22860</xdr:rowOff>
    </xdr:from>
    <xdr:ext cx="1180003" cy="18851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9EC75EDE-E83F-432E-9D58-A380D42AC2A0}"/>
                </a:ext>
              </a:extLst>
            </xdr:cNvPr>
            <xdr:cNvSpPr txBox="1"/>
          </xdr:nvSpPr>
          <xdr:spPr>
            <a:xfrm>
              <a:off x="541020" y="3284220"/>
              <a:ext cx="1180003" cy="1885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sSubSup>
                      <m:sSubSup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𝑦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  <m:sSubSup>
                      <m:sSubSup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𝑊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bSup>
                    <m:f>
                      <m:fPr>
                        <m:type m:val="lin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Δ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𝑆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9EC75EDE-E83F-432E-9D58-A380D42AC2A0}"/>
                </a:ext>
              </a:extLst>
            </xdr:cNvPr>
            <xdr:cNvSpPr txBox="1"/>
          </xdr:nvSpPr>
          <xdr:spPr>
            <a:xfrm>
              <a:off x="541020" y="3284220"/>
              <a:ext cx="1180003" cy="1885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𝐹=𝐶_𝑦^2 𝜌𝑊_1^2 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𝑆∕2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68580</xdr:colOff>
      <xdr:row>15</xdr:row>
      <xdr:rowOff>22860</xdr:rowOff>
    </xdr:from>
    <xdr:ext cx="94461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E233DED-6E46-46B4-982F-F99323CD00C3}"/>
                </a:ext>
              </a:extLst>
            </xdr:cNvPr>
            <xdr:cNvSpPr txBox="1"/>
          </xdr:nvSpPr>
          <xdr:spPr>
            <a:xfrm>
              <a:off x="571500" y="3512820"/>
              <a:ext cx="94461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𝛾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𝛽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+57,3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𝜇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E233DED-6E46-46B4-982F-F99323CD00C3}"/>
                </a:ext>
              </a:extLst>
            </xdr:cNvPr>
            <xdr:cNvSpPr txBox="1"/>
          </xdr:nvSpPr>
          <xdr:spPr>
            <a:xfrm>
              <a:off x="571500" y="3512820"/>
              <a:ext cx="94461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𝛾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=𝛽_1+57,3𝜇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45720</xdr:colOff>
      <xdr:row>17</xdr:row>
      <xdr:rowOff>30480</xdr:rowOff>
    </xdr:from>
    <xdr:ext cx="96712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29FA0F29-8C1B-413D-8FAA-1F553F1E2E74}"/>
                </a:ext>
              </a:extLst>
            </xdr:cNvPr>
            <xdr:cNvSpPr txBox="1"/>
          </xdr:nvSpPr>
          <xdr:spPr>
            <a:xfrm>
              <a:off x="548640" y="3749040"/>
              <a:ext cx="96712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=2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</m:t>
                    </m:r>
                    <m:func>
                      <m:func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100" b="0" i="0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cos</m:t>
                        </m:r>
                      </m:fName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𝛾</m:t>
                        </m:r>
                      </m:e>
                    </m:fun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29FA0F29-8C1B-413D-8FAA-1F553F1E2E74}"/>
                </a:ext>
              </a:extLst>
            </xdr:cNvPr>
            <xdr:cNvSpPr txBox="1"/>
          </xdr:nvSpPr>
          <xdr:spPr>
            <a:xfrm>
              <a:off x="548640" y="3749040"/>
              <a:ext cx="96712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𝑃=2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 cos⁡𝛾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30480</xdr:colOff>
      <xdr:row>18</xdr:row>
      <xdr:rowOff>30480</xdr:rowOff>
    </xdr:from>
    <xdr:ext cx="104278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18EB1C5-5BEE-4953-A4FC-96BEECAEBC54}"/>
                </a:ext>
              </a:extLst>
            </xdr:cNvPr>
            <xdr:cNvSpPr txBox="1"/>
          </xdr:nvSpPr>
          <xdr:spPr>
            <a:xfrm>
              <a:off x="533400" y="3977640"/>
              <a:ext cx="104278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𝑁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=2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𝐹𝑢</m:t>
                    </m:r>
                    <m:func>
                      <m:func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100" b="0" i="0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sin</m:t>
                        </m:r>
                      </m:fName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𝛾</m:t>
                        </m:r>
                      </m:e>
                    </m:fun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18EB1C5-5BEE-4953-A4FC-96BEECAEBC54}"/>
                </a:ext>
              </a:extLst>
            </xdr:cNvPr>
            <xdr:cNvSpPr txBox="1"/>
          </xdr:nvSpPr>
          <xdr:spPr>
            <a:xfrm>
              <a:off x="533400" y="3977640"/>
              <a:ext cx="104278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𝑁=2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𝐹𝑢 sin⁡𝛾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60960</xdr:colOff>
      <xdr:row>19</xdr:row>
      <xdr:rowOff>30480</xdr:rowOff>
    </xdr:from>
    <xdr:ext cx="5588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4B4293E4-1A9F-4A98-B53C-D51E802FE55E}"/>
                </a:ext>
              </a:extLst>
            </xdr:cNvPr>
            <xdr:cNvSpPr txBox="1"/>
          </xdr:nvSpPr>
          <xdr:spPr>
            <a:xfrm>
              <a:off x="563880" y="4206240"/>
              <a:ext cx="558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ΣΔ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4B4293E4-1A9F-4A98-B53C-D51E802FE55E}"/>
                </a:ext>
              </a:extLst>
            </xdr:cNvPr>
            <xdr:cNvSpPr txBox="1"/>
          </xdr:nvSpPr>
          <xdr:spPr>
            <a:xfrm>
              <a:off x="563880" y="4206240"/>
              <a:ext cx="558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𝑃=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ΣΔ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𝑃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60960</xdr:colOff>
      <xdr:row>20</xdr:row>
      <xdr:rowOff>22860</xdr:rowOff>
    </xdr:from>
    <xdr:ext cx="64973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3775E34D-21E8-471E-82FF-0C28098855B4}"/>
                </a:ext>
              </a:extLst>
            </xdr:cNvPr>
            <xdr:cNvSpPr txBox="1"/>
          </xdr:nvSpPr>
          <xdr:spPr>
            <a:xfrm>
              <a:off x="563880" y="4427220"/>
              <a:ext cx="6497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ΣΔ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𝑁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3775E34D-21E8-471E-82FF-0C28098855B4}"/>
                </a:ext>
              </a:extLst>
            </xdr:cNvPr>
            <xdr:cNvSpPr txBox="1"/>
          </xdr:nvSpPr>
          <xdr:spPr>
            <a:xfrm>
              <a:off x="563880" y="4427220"/>
              <a:ext cx="6497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𝑁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𝑛=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ΣΔ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𝑁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60960</xdr:colOff>
      <xdr:row>16</xdr:row>
      <xdr:rowOff>15240</xdr:rowOff>
    </xdr:from>
    <xdr:ext cx="72545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1F9D8A4B-DC9E-482D-B3F9-68CEB1164885}"/>
                </a:ext>
              </a:extLst>
            </xdr:cNvPr>
            <xdr:cNvSpPr txBox="1"/>
          </xdr:nvSpPr>
          <xdr:spPr>
            <a:xfrm>
              <a:off x="563880" y="3733800"/>
              <a:ext cx="7254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𝛽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1F9D8A4B-DC9E-482D-B3F9-68CEB1164885}"/>
                </a:ext>
              </a:extLst>
            </xdr:cNvPr>
            <xdr:cNvSpPr txBox="1"/>
          </xdr:nvSpPr>
          <xdr:spPr>
            <a:xfrm>
              <a:off x="563880" y="3733800"/>
              <a:ext cx="7254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=𝛽_1+𝛼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8</xdr:col>
      <xdr:colOff>137160</xdr:colOff>
      <xdr:row>1</xdr:row>
      <xdr:rowOff>22860</xdr:rowOff>
    </xdr:from>
    <xdr:ext cx="10201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314E6D94-CF37-4DFA-BA26-AD66DED3960B}"/>
                </a:ext>
              </a:extLst>
            </xdr:cNvPr>
            <xdr:cNvSpPr txBox="1"/>
          </xdr:nvSpPr>
          <xdr:spPr>
            <a:xfrm>
              <a:off x="6408420" y="205740"/>
              <a:ext cx="10201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314E6D94-CF37-4DFA-BA26-AD66DED3960B}"/>
                </a:ext>
              </a:extLst>
            </xdr:cNvPr>
            <xdr:cNvSpPr txBox="1"/>
          </xdr:nvSpPr>
          <xdr:spPr>
            <a:xfrm>
              <a:off x="6408420" y="205740"/>
              <a:ext cx="10201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1112520</xdr:colOff>
      <xdr:row>6</xdr:row>
      <xdr:rowOff>38100</xdr:rowOff>
    </xdr:from>
    <xdr:ext cx="56432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862F8549-396F-48C9-8F41-068C329E1DA6}"/>
                </a:ext>
              </a:extLst>
            </xdr:cNvPr>
            <xdr:cNvSpPr txBox="1"/>
          </xdr:nvSpPr>
          <xdr:spPr>
            <a:xfrm>
              <a:off x="1112520" y="1343025"/>
              <a:ext cx="56432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𝑐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̅"/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  <m:r>
                      <a:rPr lang="en-US" sz="11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𝑏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862F8549-396F-48C9-8F41-068C329E1DA6}"/>
                </a:ext>
              </a:extLst>
            </xdr:cNvPr>
            <xdr:cNvSpPr txBox="1"/>
          </xdr:nvSpPr>
          <xdr:spPr>
            <a:xfrm>
              <a:off x="1112520" y="1343025"/>
              <a:ext cx="56432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r>
                <a:rPr lang="en-US" sz="1100" b="0" i="0">
                  <a:latin typeface="Cambria Math" panose="02040503050406030204" pitchFamily="18" charset="0"/>
                </a:rPr>
                <a:t>∗𝑏</a:t>
              </a:r>
              <a:endParaRPr lang="ru-RU" sz="1100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588645</xdr:colOff>
      <xdr:row>3</xdr:row>
      <xdr:rowOff>19050</xdr:rowOff>
    </xdr:from>
    <xdr:ext cx="1287340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D14DBC9-FABD-4AE6-AF82-23E9FBC9C2FF}"/>
                </a:ext>
              </a:extLst>
            </xdr:cNvPr>
            <xdr:cNvSpPr txBox="1"/>
          </xdr:nvSpPr>
          <xdr:spPr>
            <a:xfrm>
              <a:off x="588645" y="590550"/>
              <a:ext cx="128734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𝐾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−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</m:t>
                        </m:r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𝛼</m:t>
                        </m:r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𝛼</m:t>
                            </m:r>
                          </m:e>
                          <m:sub>
                            <m:r>
                              <a:rPr lang="ru-RU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в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e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D14DBC9-FABD-4AE6-AF82-23E9FBC9C2FF}"/>
                </a:ext>
              </a:extLst>
            </xdr:cNvPr>
            <xdr:cNvSpPr txBox="1"/>
          </xdr:nvSpPr>
          <xdr:spPr>
            <a:xfrm>
              <a:off x="588645" y="590550"/>
              <a:ext cx="128734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𝐾=𝑟_</a:t>
              </a:r>
              <a:r>
                <a:rPr lang="ru-RU" sz="1100" b="0" i="0">
                  <a:latin typeface="Cambria Math" panose="02040503050406030204" pitchFamily="18" charset="0"/>
                </a:rPr>
                <a:t>в</a:t>
              </a:r>
              <a:r>
                <a:rPr lang="en-US" sz="1100" b="0" i="0">
                  <a:latin typeface="Cambria Math" panose="02040503050406030204" pitchFamily="18" charset="0"/>
                </a:rPr>
                <a:t>−𝑟_1 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(𝛼−𝛼_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в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)〗^</a:t>
              </a:r>
              <a:r>
                <a:rPr lang="ru-RU" sz="1100" b="0" i="0">
                  <a:latin typeface="Cambria Math" panose="02040503050406030204" pitchFamily="18" charset="0"/>
                </a:rPr>
                <a:t>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</xdr:col>
      <xdr:colOff>449580</xdr:colOff>
      <xdr:row>2</xdr:row>
      <xdr:rowOff>175260</xdr:rowOff>
    </xdr:from>
    <xdr:ext cx="1756250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4D0900CE-929E-4085-B509-26534BB95E07}"/>
                </a:ext>
              </a:extLst>
            </xdr:cNvPr>
            <xdr:cNvSpPr txBox="1"/>
          </xdr:nvSpPr>
          <xdr:spPr>
            <a:xfrm>
              <a:off x="2278380" y="541020"/>
              <a:ext cx="175625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=0,72−1500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</m:t>
                        </m:r>
                        <m:acc>
                          <m:accPr>
                            <m:chr m:val="̅"/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𝑐</m:t>
                            </m:r>
                          </m:e>
                        </m:acc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−0,18)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4D0900CE-929E-4085-B509-26534BB95E07}"/>
                </a:ext>
              </a:extLst>
            </xdr:cNvPr>
            <xdr:cNvSpPr txBox="1"/>
          </xdr:nvSpPr>
          <xdr:spPr>
            <a:xfrm>
              <a:off x="2278380" y="541020"/>
              <a:ext cx="175625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1=0,72−1500〖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(𝑐 ̅−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0,18)〗^</a:t>
              </a:r>
              <a:r>
                <a:rPr lang="en-US" sz="1100" b="0" i="0">
                  <a:latin typeface="Cambria Math" panose="02040503050406030204" pitchFamily="18" charset="0"/>
                </a:rPr>
                <a:t>3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4</xdr:col>
      <xdr:colOff>304800</xdr:colOff>
      <xdr:row>5</xdr:row>
      <xdr:rowOff>7620</xdr:rowOff>
    </xdr:from>
    <xdr:ext cx="1012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E49AC781-D714-411F-925A-9C10786E33F5}"/>
                </a:ext>
              </a:extLst>
            </xdr:cNvPr>
            <xdr:cNvSpPr txBox="1"/>
          </xdr:nvSpPr>
          <xdr:spPr>
            <a:xfrm>
              <a:off x="2743200" y="9220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E49AC781-D714-411F-925A-9C10786E33F5}"/>
                </a:ext>
              </a:extLst>
            </xdr:cNvPr>
            <xdr:cNvSpPr txBox="1"/>
          </xdr:nvSpPr>
          <xdr:spPr>
            <a:xfrm>
              <a:off x="2743200" y="9220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5</xdr:col>
      <xdr:colOff>236220</xdr:colOff>
      <xdr:row>5</xdr:row>
      <xdr:rowOff>0</xdr:rowOff>
    </xdr:from>
    <xdr:ext cx="14555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BB165335-6DFE-4154-9A65-1CACFAE30084}"/>
                </a:ext>
              </a:extLst>
            </xdr:cNvPr>
            <xdr:cNvSpPr txBox="1"/>
          </xdr:nvSpPr>
          <xdr:spPr>
            <a:xfrm>
              <a:off x="3284220" y="914400"/>
              <a:ext cx="1455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BB165335-6DFE-4154-9A65-1CACFAE30084}"/>
                </a:ext>
              </a:extLst>
            </xdr:cNvPr>
            <xdr:cNvSpPr txBox="1"/>
          </xdr:nvSpPr>
          <xdr:spPr>
            <a:xfrm>
              <a:off x="3284220" y="914400"/>
              <a:ext cx="1455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7</xdr:col>
      <xdr:colOff>518160</xdr:colOff>
      <xdr:row>3</xdr:row>
      <xdr:rowOff>0</xdr:rowOff>
    </xdr:from>
    <xdr:ext cx="1638910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CE3CBBB0-6D20-419B-AEC0-7DFAE552E4B7}"/>
                </a:ext>
              </a:extLst>
            </xdr:cNvPr>
            <xdr:cNvSpPr txBox="1"/>
          </xdr:nvSpPr>
          <xdr:spPr>
            <a:xfrm>
              <a:off x="4785360" y="548640"/>
              <a:ext cx="163891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=60−2200</m:t>
                    </m:r>
                    <m:sSup>
                      <m:sSupPr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</m:t>
                        </m:r>
                        <m:acc>
                          <m:accPr>
                            <m:chr m:val="̅"/>
                            <m:ctrlPr>
                              <a:rPr lang="ru-RU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𝑐</m:t>
                            </m:r>
                          </m:e>
                        </m:acc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−0,18)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CE3CBBB0-6D20-419B-AEC0-7DFAE552E4B7}"/>
                </a:ext>
              </a:extLst>
            </xdr:cNvPr>
            <xdr:cNvSpPr txBox="1"/>
          </xdr:nvSpPr>
          <xdr:spPr>
            <a:xfrm>
              <a:off x="4785360" y="548640"/>
              <a:ext cx="163891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_в=60−2200〖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𝑐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 ̅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−0,18)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8</xdr:col>
      <xdr:colOff>251460</xdr:colOff>
      <xdr:row>5</xdr:row>
      <xdr:rowOff>7620</xdr:rowOff>
    </xdr:from>
    <xdr:ext cx="1012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662B9FF0-A062-4350-814F-83CEE8426CF0}"/>
                </a:ext>
              </a:extLst>
            </xdr:cNvPr>
            <xdr:cNvSpPr txBox="1"/>
          </xdr:nvSpPr>
          <xdr:spPr>
            <a:xfrm>
              <a:off x="5128260" y="9220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662B9FF0-A062-4350-814F-83CEE8426CF0}"/>
                </a:ext>
              </a:extLst>
            </xdr:cNvPr>
            <xdr:cNvSpPr txBox="1"/>
          </xdr:nvSpPr>
          <xdr:spPr>
            <a:xfrm>
              <a:off x="5128260" y="9220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9</xdr:col>
      <xdr:colOff>236220</xdr:colOff>
      <xdr:row>5</xdr:row>
      <xdr:rowOff>0</xdr:rowOff>
    </xdr:from>
    <xdr:ext cx="13523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6A0AA7C3-74F4-414A-915E-B27C8317C639}"/>
                </a:ext>
              </a:extLst>
            </xdr:cNvPr>
            <xdr:cNvSpPr txBox="1"/>
          </xdr:nvSpPr>
          <xdr:spPr>
            <a:xfrm>
              <a:off x="5722620" y="914400"/>
              <a:ext cx="1352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6A0AA7C3-74F4-414A-915E-B27C8317C639}"/>
                </a:ext>
              </a:extLst>
            </xdr:cNvPr>
            <xdr:cNvSpPr txBox="1"/>
          </xdr:nvSpPr>
          <xdr:spPr>
            <a:xfrm>
              <a:off x="5722620" y="914400"/>
              <a:ext cx="1352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_в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11</xdr:col>
      <xdr:colOff>487680</xdr:colOff>
      <xdr:row>3</xdr:row>
      <xdr:rowOff>7620</xdr:rowOff>
    </xdr:from>
    <xdr:ext cx="1462516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A419F29E-1D3C-4D4F-AAC5-DD56571A4F4B}"/>
                </a:ext>
              </a:extLst>
            </xdr:cNvPr>
            <xdr:cNvSpPr txBox="1"/>
          </xdr:nvSpPr>
          <xdr:spPr>
            <a:xfrm>
              <a:off x="7193280" y="556260"/>
              <a:ext cx="146251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∝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=4,6+25(</m:t>
                    </m:r>
                    <m:acc>
                      <m:accPr>
                        <m:chr m:val="̅"/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  <m:r>
                      <a:rPr lang="en-US" sz="1100" b="0" i="1">
                        <a:latin typeface="Cambria Math" panose="02040503050406030204" pitchFamily="18" charset="0"/>
                      </a:rPr>
                      <m:t>−0,09)</m:t>
                    </m:r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A419F29E-1D3C-4D4F-AAC5-DD56571A4F4B}"/>
                </a:ext>
              </a:extLst>
            </xdr:cNvPr>
            <xdr:cNvSpPr txBox="1"/>
          </xdr:nvSpPr>
          <xdr:spPr>
            <a:xfrm>
              <a:off x="7193280" y="556260"/>
              <a:ext cx="146251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∝_</a:t>
              </a:r>
              <a:r>
                <a:rPr lang="ru-RU" sz="1100" b="0" i="0">
                  <a:latin typeface="Cambria Math" panose="02040503050406030204" pitchFamily="18" charset="0"/>
                </a:rPr>
                <a:t>в=4,6+25(</a:t>
              </a:r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r>
                <a:rPr lang="en-US" sz="1100" b="0" i="0">
                  <a:latin typeface="Cambria Math" panose="02040503050406030204" pitchFamily="18" charset="0"/>
                </a:rPr>
                <a:t>−0,09)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12</xdr:col>
      <xdr:colOff>259080</xdr:colOff>
      <xdr:row>5</xdr:row>
      <xdr:rowOff>15240</xdr:rowOff>
    </xdr:from>
    <xdr:ext cx="1012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442AA9FA-05C1-4E14-BC8A-B4FC4599BA09}"/>
                </a:ext>
              </a:extLst>
            </xdr:cNvPr>
            <xdr:cNvSpPr txBox="1"/>
          </xdr:nvSpPr>
          <xdr:spPr>
            <a:xfrm>
              <a:off x="7574280" y="92964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442AA9FA-05C1-4E14-BC8A-B4FC4599BA09}"/>
                </a:ext>
              </a:extLst>
            </xdr:cNvPr>
            <xdr:cNvSpPr txBox="1"/>
          </xdr:nvSpPr>
          <xdr:spPr>
            <a:xfrm>
              <a:off x="7574280" y="92964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13</xdr:col>
      <xdr:colOff>198120</xdr:colOff>
      <xdr:row>5</xdr:row>
      <xdr:rowOff>7620</xdr:rowOff>
    </xdr:from>
    <xdr:ext cx="19069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EC338F9F-DCF6-4041-83A2-E4DDAA63432B}"/>
                </a:ext>
              </a:extLst>
            </xdr:cNvPr>
            <xdr:cNvSpPr txBox="1"/>
          </xdr:nvSpPr>
          <xdr:spPr>
            <a:xfrm>
              <a:off x="8122920" y="922020"/>
              <a:ext cx="19069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∝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EC338F9F-DCF6-4041-83A2-E4DDAA63432B}"/>
                </a:ext>
              </a:extLst>
            </xdr:cNvPr>
            <xdr:cNvSpPr txBox="1"/>
          </xdr:nvSpPr>
          <xdr:spPr>
            <a:xfrm>
              <a:off x="8122920" y="922020"/>
              <a:ext cx="19069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∝_</a:t>
              </a:r>
              <a:r>
                <a:rPr lang="ru-RU" sz="1100" b="0" i="0">
                  <a:latin typeface="Cambria Math" panose="02040503050406030204" pitchFamily="18" charset="0"/>
                </a:rPr>
                <a:t>в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304800</xdr:colOff>
      <xdr:row>5</xdr:row>
      <xdr:rowOff>7620</xdr:rowOff>
    </xdr:from>
    <xdr:ext cx="1012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45C31AD5-C3CC-4529-A211-6698D51DE700}"/>
                </a:ext>
              </a:extLst>
            </xdr:cNvPr>
            <xdr:cNvSpPr txBox="1"/>
          </xdr:nvSpPr>
          <xdr:spPr>
            <a:xfrm>
              <a:off x="2743200" y="9220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45C31AD5-C3CC-4529-A211-6698D51DE700}"/>
                </a:ext>
              </a:extLst>
            </xdr:cNvPr>
            <xdr:cNvSpPr txBox="1"/>
          </xdr:nvSpPr>
          <xdr:spPr>
            <a:xfrm>
              <a:off x="2743200" y="9220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72A21-52BD-460C-9C3D-A3905F4BFC32}">
  <dimension ref="A1:E29"/>
  <sheetViews>
    <sheetView tabSelected="1" zoomScale="75" zoomScaleNormal="75" workbookViewId="0">
      <selection activeCell="F2" sqref="F2"/>
    </sheetView>
  </sheetViews>
  <sheetFormatPr defaultColWidth="8.88671875" defaultRowHeight="13.8" x14ac:dyDescent="0.25"/>
  <cols>
    <col min="1" max="1" width="51.6640625" style="13" customWidth="1"/>
    <col min="2" max="2" width="10.6640625" style="14" customWidth="1"/>
    <col min="3" max="5" width="10.6640625" style="13" customWidth="1"/>
    <col min="6" max="16384" width="8.88671875" style="13"/>
  </cols>
  <sheetData>
    <row r="1" spans="1:5" ht="15" customHeight="1" x14ac:dyDescent="0.25"/>
    <row r="2" spans="1:5" ht="19.95" customHeight="1" x14ac:dyDescent="0.3">
      <c r="A2" s="40" t="s">
        <v>4</v>
      </c>
      <c r="B2" s="16" t="s">
        <v>27</v>
      </c>
      <c r="C2" s="16" t="s">
        <v>27</v>
      </c>
      <c r="D2" s="16" t="s">
        <v>27</v>
      </c>
      <c r="E2" s="16" t="s">
        <v>27</v>
      </c>
    </row>
    <row r="3" spans="1:5" ht="19.95" customHeight="1" x14ac:dyDescent="0.3">
      <c r="A3" s="15" t="s">
        <v>11</v>
      </c>
      <c r="B3" s="16">
        <v>2600</v>
      </c>
      <c r="C3" s="16">
        <v>2600</v>
      </c>
      <c r="D3" s="16">
        <v>2600</v>
      </c>
      <c r="E3" s="31">
        <v>2900</v>
      </c>
    </row>
    <row r="4" spans="1:5" ht="19.95" customHeight="1" x14ac:dyDescent="0.3">
      <c r="A4" s="15" t="s">
        <v>10</v>
      </c>
      <c r="B4" s="16">
        <v>0.7</v>
      </c>
      <c r="C4" s="16">
        <v>0.7</v>
      </c>
      <c r="D4" s="16">
        <v>0.7</v>
      </c>
      <c r="E4" s="31">
        <v>0.7</v>
      </c>
    </row>
    <row r="5" spans="1:5" ht="19.95" customHeight="1" x14ac:dyDescent="0.3">
      <c r="A5" s="17" t="s">
        <v>5</v>
      </c>
      <c r="B5" s="16">
        <v>250</v>
      </c>
      <c r="C5" s="16">
        <v>250</v>
      </c>
      <c r="D5" s="16">
        <v>250</v>
      </c>
      <c r="E5" s="16">
        <v>250</v>
      </c>
    </row>
    <row r="6" spans="1:5" ht="19.95" customHeight="1" x14ac:dyDescent="0.3">
      <c r="A6" s="17" t="s">
        <v>25</v>
      </c>
      <c r="B6" s="16">
        <v>18</v>
      </c>
      <c r="C6" s="16">
        <v>18</v>
      </c>
      <c r="D6" s="16">
        <v>18</v>
      </c>
      <c r="E6" s="31">
        <v>18</v>
      </c>
    </row>
    <row r="7" spans="1:5" ht="19.95" customHeight="1" x14ac:dyDescent="0.3">
      <c r="A7" s="17" t="s">
        <v>9</v>
      </c>
      <c r="B7" s="16">
        <f>B6*746</f>
        <v>13428</v>
      </c>
      <c r="C7" s="16">
        <f>C6*746</f>
        <v>13428</v>
      </c>
      <c r="D7" s="16">
        <f>D6*746</f>
        <v>13428</v>
      </c>
      <c r="E7" s="41">
        <f>E6*746</f>
        <v>13428</v>
      </c>
    </row>
    <row r="8" spans="1:5" ht="19.95" customHeight="1" x14ac:dyDescent="0.3">
      <c r="A8" s="17" t="s">
        <v>6</v>
      </c>
      <c r="B8" s="16">
        <v>55</v>
      </c>
      <c r="C8" s="16">
        <v>55</v>
      </c>
      <c r="D8" s="16">
        <v>55</v>
      </c>
      <c r="E8" s="31">
        <v>50</v>
      </c>
    </row>
    <row r="9" spans="1:5" ht="19.95" customHeight="1" x14ac:dyDescent="0.3">
      <c r="A9" s="17" t="s">
        <v>6</v>
      </c>
      <c r="B9" s="18">
        <f>B8/3.6</f>
        <v>15.277777777777777</v>
      </c>
      <c r="C9" s="18">
        <f>C8/3.6</f>
        <v>15.277777777777777</v>
      </c>
      <c r="D9" s="18">
        <f>D8/3.6</f>
        <v>15.277777777777777</v>
      </c>
      <c r="E9" s="42">
        <f>E8/3.6</f>
        <v>13.888888888888889</v>
      </c>
    </row>
    <row r="10" spans="1:5" ht="19.95" customHeight="1" x14ac:dyDescent="0.25">
      <c r="A10" s="19" t="s">
        <v>8</v>
      </c>
      <c r="B10" s="16"/>
      <c r="C10" s="16"/>
      <c r="D10" s="16"/>
      <c r="E10" s="41"/>
    </row>
    <row r="11" spans="1:5" ht="19.95" customHeight="1" x14ac:dyDescent="0.3">
      <c r="A11" s="17" t="s">
        <v>7</v>
      </c>
      <c r="B11" s="42">
        <f>B9*1.2</f>
        <v>18.333333333333332</v>
      </c>
      <c r="C11" s="42">
        <f>C9*1.2</f>
        <v>18.333333333333332</v>
      </c>
      <c r="D11" s="42">
        <f>D9*1.2</f>
        <v>18.333333333333332</v>
      </c>
      <c r="E11" s="42">
        <f>E9*1.2</f>
        <v>16.666666666666668</v>
      </c>
    </row>
    <row r="12" spans="1:5" ht="19.95" customHeight="1" x14ac:dyDescent="0.3">
      <c r="A12" s="17" t="s">
        <v>29</v>
      </c>
      <c r="B12" s="18"/>
      <c r="C12" s="18"/>
      <c r="D12" s="18"/>
      <c r="E12" s="32">
        <f>E15/3.6</f>
        <v>23.333333333333332</v>
      </c>
    </row>
    <row r="13" spans="1:5" ht="19.95" customHeight="1" x14ac:dyDescent="0.3">
      <c r="A13" s="20"/>
      <c r="B13" s="21">
        <f>B3*0.1047</f>
        <v>272.22000000000003</v>
      </c>
      <c r="C13" s="21">
        <f>C3*0.1047</f>
        <v>272.22000000000003</v>
      </c>
      <c r="D13" s="21">
        <f>D3*0.1047</f>
        <v>272.22000000000003</v>
      </c>
      <c r="E13" s="43">
        <f>E3*0.1047</f>
        <v>303.63</v>
      </c>
    </row>
    <row r="14" spans="1:5" ht="19.95" customHeight="1" x14ac:dyDescent="0.3">
      <c r="A14" s="20"/>
      <c r="B14" s="16">
        <v>1.2237</v>
      </c>
      <c r="C14" s="16">
        <v>1.2237</v>
      </c>
      <c r="D14" s="16">
        <v>1.2237</v>
      </c>
      <c r="E14" s="31">
        <v>1.2237</v>
      </c>
    </row>
    <row r="15" spans="1:5" ht="19.95" customHeight="1" x14ac:dyDescent="0.3">
      <c r="A15" s="20" t="s">
        <v>28</v>
      </c>
      <c r="B15" s="16"/>
      <c r="C15" s="16"/>
      <c r="D15" s="16"/>
      <c r="E15" s="31">
        <v>84</v>
      </c>
    </row>
    <row r="16" spans="1:5" ht="19.95" customHeight="1" x14ac:dyDescent="0.3">
      <c r="A16" s="22"/>
      <c r="B16" s="23"/>
      <c r="C16" s="24"/>
      <c r="D16" s="24"/>
      <c r="E16" s="24"/>
    </row>
    <row r="17" spans="1:5" ht="19.95" customHeight="1" x14ac:dyDescent="0.25"/>
    <row r="18" spans="1:5" ht="18" x14ac:dyDescent="0.25">
      <c r="A18" s="52" t="s">
        <v>3</v>
      </c>
      <c r="B18" s="52" t="s">
        <v>2</v>
      </c>
      <c r="C18" s="52"/>
      <c r="D18" s="52"/>
      <c r="E18" s="52"/>
    </row>
    <row r="19" spans="1:5" ht="15.6" x14ac:dyDescent="0.25">
      <c r="A19" s="52"/>
      <c r="B19" s="9">
        <v>0.7</v>
      </c>
      <c r="C19" s="9">
        <v>0.65</v>
      </c>
      <c r="D19" s="9">
        <v>0.64</v>
      </c>
      <c r="E19" s="44">
        <v>0.625</v>
      </c>
    </row>
    <row r="20" spans="1:5" ht="19.95" customHeight="1" x14ac:dyDescent="0.35">
      <c r="A20" s="25"/>
      <c r="B20" s="7">
        <f>B19/0.85</f>
        <v>0.82352941176470584</v>
      </c>
      <c r="C20" s="7">
        <f>C19/0.85</f>
        <v>0.76470588235294124</v>
      </c>
      <c r="D20" s="7">
        <f>D19/0.85</f>
        <v>0.75294117647058822</v>
      </c>
      <c r="E20" s="7">
        <f>E19/0.85</f>
        <v>0.73529411764705888</v>
      </c>
    </row>
    <row r="21" spans="1:5" ht="19.95" customHeight="1" x14ac:dyDescent="0.35">
      <c r="A21" s="25"/>
      <c r="B21" s="10">
        <f>4*((1/B20^2) - (1/B20))</f>
        <v>1.0408163265306118</v>
      </c>
      <c r="C21" s="8">
        <f>4*((1/C20^2) - (1/C20))</f>
        <v>1.609467455621302</v>
      </c>
      <c r="D21" s="10">
        <f>4*((1/D20^2) - (1/D20))</f>
        <v>1.7431640625000009</v>
      </c>
      <c r="E21" s="10">
        <f>4*((1/E20^2) - (1/E20))</f>
        <v>1.9583999999999993</v>
      </c>
    </row>
    <row r="22" spans="1:5" ht="19.95" customHeight="1" x14ac:dyDescent="0.35">
      <c r="A22" s="25"/>
      <c r="B22" s="11">
        <f>B7*B19/B11</f>
        <v>512.70545454545447</v>
      </c>
      <c r="C22" s="11">
        <f>C7*C19/C11</f>
        <v>476.08363636363646</v>
      </c>
      <c r="D22" s="11">
        <f>D7*D19/D11</f>
        <v>468.75927272727279</v>
      </c>
      <c r="E22" s="11">
        <f>E7*E19/E11</f>
        <v>503.54999999999995</v>
      </c>
    </row>
    <row r="23" spans="1:5" ht="19.95" customHeight="1" x14ac:dyDescent="0.35">
      <c r="A23" s="25"/>
      <c r="B23" s="10">
        <f>2*B22/(B21*B14*B11^2)</f>
        <v>2.3953336073155356</v>
      </c>
      <c r="C23" s="10">
        <f>2*C22/(C21*C14*C11^2)</f>
        <v>1.4383786266232408</v>
      </c>
      <c r="D23" s="10">
        <f>2*D22/(D21*D14*D11^2)</f>
        <v>1.3076266829573582</v>
      </c>
      <c r="E23" s="10">
        <f>2*E22/(E21*E14*E11^2)</f>
        <v>1.512859985867355</v>
      </c>
    </row>
    <row r="24" spans="1:5" ht="19.95" customHeight="1" x14ac:dyDescent="0.35">
      <c r="A24" s="25"/>
      <c r="B24" s="10">
        <f>SQRT(B23/PI())</f>
        <v>0.87318862104176376</v>
      </c>
      <c r="C24" s="10">
        <f>SQRT(C23/PI())</f>
        <v>0.67664624208639546</v>
      </c>
      <c r="D24" s="10">
        <f>SQRT(D23/PI())</f>
        <v>0.64515928314102744</v>
      </c>
      <c r="E24" s="50">
        <f>SQRT(E23/PI())</f>
        <v>0.69394401064743616</v>
      </c>
    </row>
    <row r="25" spans="1:5" ht="19.95" customHeight="1" x14ac:dyDescent="0.35">
      <c r="A25" s="25"/>
      <c r="B25" s="12">
        <f>B13*B24</f>
        <v>237.69940641998895</v>
      </c>
      <c r="C25" s="12">
        <f>C13*C24</f>
        <v>184.19664002075859</v>
      </c>
      <c r="D25" s="12">
        <f>D13*D24</f>
        <v>175.62526005665052</v>
      </c>
      <c r="E25" s="12">
        <f>E13*E24</f>
        <v>210.70221995288105</v>
      </c>
    </row>
    <row r="26" spans="1:5" ht="31.2" customHeight="1" x14ac:dyDescent="0.35">
      <c r="A26" s="25"/>
      <c r="B26" s="11">
        <f>(B11 + SQRT(B11^2 + 4*B22/(B14*B23)))/2</f>
        <v>25.258364643082089</v>
      </c>
      <c r="C26" s="11">
        <f>(C11 + SQRT(C11^2 + 4*C22/(C14*C23)))/2</f>
        <v>27.995042198846868</v>
      </c>
      <c r="D26" s="11">
        <f>(D11 + SQRT(D11^2 + 4*D22/(D14*D23)))/2</f>
        <v>28.582541169910002</v>
      </c>
      <c r="E26" s="11">
        <f>(E11 + SQRT(E11^2 + 4*E22/(E14*E23)))/2</f>
        <v>26.811548735380264</v>
      </c>
    </row>
    <row r="27" spans="1:5" ht="19.95" customHeight="1" x14ac:dyDescent="0.25">
      <c r="A27" s="26" t="s">
        <v>0</v>
      </c>
      <c r="B27" s="9"/>
      <c r="C27" s="9"/>
      <c r="D27" s="9"/>
      <c r="E27" s="9"/>
    </row>
    <row r="28" spans="1:5" ht="19.95" customHeight="1" x14ac:dyDescent="0.25">
      <c r="A28" s="26" t="s">
        <v>26</v>
      </c>
      <c r="B28" s="27" t="str">
        <f>IF(B25&gt;B5, "ДА", IF(B5&gt;B25, "НЕТ", ""))</f>
        <v>НЕТ</v>
      </c>
      <c r="C28" s="27" t="str">
        <f>IF(C25&gt;C5, "ДА", IF(C5&gt;C25, "НЕТ", ""))</f>
        <v>НЕТ</v>
      </c>
      <c r="D28" s="27" t="str">
        <f>IF(D25&gt;D5, "ДА", IF(D5&gt;D25, "НЕТ", ""))</f>
        <v>НЕТ</v>
      </c>
      <c r="E28" s="27" t="str">
        <f>IF(E25&gt;E5, "ДА", IF(E5&gt;E25, "НЕТ", ""))</f>
        <v>НЕТ</v>
      </c>
    </row>
    <row r="29" spans="1:5" ht="19.95" customHeight="1" x14ac:dyDescent="0.25">
      <c r="A29" s="26" t="s">
        <v>1</v>
      </c>
      <c r="B29" s="27" t="str">
        <f>IF(OR(B24&gt;B4, B25&gt;B5), "ДА", "НЕТ")</f>
        <v>ДА</v>
      </c>
      <c r="C29" s="27" t="str">
        <f>IF(OR(C24&gt;C4, C25&gt;C5), "ДА", "НЕТ")</f>
        <v>НЕТ</v>
      </c>
      <c r="D29" s="27" t="str">
        <f>IF(OR(D24&gt;D4, D25&gt;D5), "ДА", "НЕТ")</f>
        <v>НЕТ</v>
      </c>
      <c r="E29" s="27" t="str">
        <f>IF(OR(E24&gt;E4, E25&gt;E5), "ДА", "НЕТ")</f>
        <v>НЕТ</v>
      </c>
    </row>
  </sheetData>
  <mergeCells count="2">
    <mergeCell ref="B18:E18"/>
    <mergeCell ref="A18:A19"/>
  </mergeCells>
  <conditionalFormatting sqref="B28">
    <cfRule type="expression" dxfId="15" priority="15" stopIfTrue="1">
      <formula>$B$28="НЕТ"</formula>
    </cfRule>
    <cfRule type="expression" dxfId="14" priority="16" stopIfTrue="1">
      <formula>$B$28="ДА"</formula>
    </cfRule>
  </conditionalFormatting>
  <conditionalFormatting sqref="C28">
    <cfRule type="expression" dxfId="13" priority="13">
      <formula>$C$28="НЕТ"</formula>
    </cfRule>
    <cfRule type="expression" dxfId="12" priority="14">
      <formula>$C$28="ДА"</formula>
    </cfRule>
  </conditionalFormatting>
  <conditionalFormatting sqref="D28">
    <cfRule type="expression" dxfId="11" priority="11">
      <formula>$D$28="НЕТ"</formula>
    </cfRule>
    <cfRule type="expression" dxfId="10" priority="12">
      <formula>$D$28="ДА"</formula>
    </cfRule>
  </conditionalFormatting>
  <conditionalFormatting sqref="E28">
    <cfRule type="expression" dxfId="9" priority="9">
      <formula>$E$28="НЕТ"</formula>
    </cfRule>
    <cfRule type="expression" dxfId="8" priority="10">
      <formula>$E$28="ДА"</formula>
    </cfRule>
  </conditionalFormatting>
  <conditionalFormatting sqref="B29">
    <cfRule type="expression" dxfId="7" priority="7">
      <formula>$B$29="НЕТ"</formula>
    </cfRule>
    <cfRule type="expression" dxfId="6" priority="8">
      <formula>$B$29="ДА"</formula>
    </cfRule>
  </conditionalFormatting>
  <conditionalFormatting sqref="C29">
    <cfRule type="expression" dxfId="5" priority="5">
      <formula>$C$29="НЕТ"</formula>
    </cfRule>
    <cfRule type="expression" dxfId="4" priority="6">
      <formula>$C$29="ДА"</formula>
    </cfRule>
  </conditionalFormatting>
  <conditionalFormatting sqref="D29">
    <cfRule type="expression" dxfId="3" priority="3">
      <formula>$D$29="НЕТ"</formula>
    </cfRule>
    <cfRule type="expression" dxfId="2" priority="4">
      <formula>$D$29="ДА"</formula>
    </cfRule>
  </conditionalFormatting>
  <conditionalFormatting sqref="E29">
    <cfRule type="expression" dxfId="1" priority="1">
      <formula>$E$29="НЕТ"</formula>
    </cfRule>
    <cfRule type="expression" dxfId="0" priority="2">
      <formula>$E$29="ДА"</formula>
    </cfRule>
  </conditionalFormatting>
  <pageMargins left="0.7" right="0.7" top="0.75" bottom="0.75" header="0.3" footer="0.3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76567-EF45-4A60-8B0D-FC1F69A1A7FE}">
  <dimension ref="A2:K21"/>
  <sheetViews>
    <sheetView zoomScaleNormal="100" workbookViewId="0">
      <selection activeCell="L3" sqref="L3"/>
    </sheetView>
  </sheetViews>
  <sheetFormatPr defaultRowHeight="14.4" x14ac:dyDescent="0.3"/>
  <cols>
    <col min="1" max="1" width="7.33203125" customWidth="1"/>
    <col min="2" max="2" width="30.6640625" customWidth="1"/>
    <col min="3" max="3" width="19.33203125" customWidth="1"/>
    <col min="4" max="4" width="13.44140625" customWidth="1"/>
    <col min="11" max="11" width="9.5546875" bestFit="1" customWidth="1"/>
  </cols>
  <sheetData>
    <row r="2" spans="1:11" x14ac:dyDescent="0.3">
      <c r="A2" s="54" t="s">
        <v>24</v>
      </c>
      <c r="B2" s="54" t="s">
        <v>3</v>
      </c>
      <c r="C2" s="55" t="s">
        <v>22</v>
      </c>
      <c r="D2" s="53" t="s">
        <v>23</v>
      </c>
      <c r="E2" s="53"/>
      <c r="F2" s="53"/>
      <c r="G2" s="53"/>
      <c r="H2" s="53"/>
      <c r="I2" s="53"/>
      <c r="J2" s="53"/>
      <c r="K2" s="53"/>
    </row>
    <row r="3" spans="1:11" x14ac:dyDescent="0.3">
      <c r="A3" s="54"/>
      <c r="B3" s="54"/>
      <c r="C3" s="55"/>
      <c r="D3" s="58">
        <v>0.35</v>
      </c>
      <c r="E3" s="58">
        <v>0.45</v>
      </c>
      <c r="F3" s="58">
        <v>0.55000000000000004</v>
      </c>
      <c r="G3" s="58">
        <v>0.65</v>
      </c>
      <c r="H3" s="58">
        <v>0.75</v>
      </c>
      <c r="I3" s="58">
        <v>0.85</v>
      </c>
      <c r="J3" s="58">
        <v>0.95</v>
      </c>
      <c r="K3" s="58">
        <v>0.98</v>
      </c>
    </row>
    <row r="4" spans="1:11" ht="18" customHeight="1" x14ac:dyDescent="0.3">
      <c r="A4" s="2">
        <v>1</v>
      </c>
      <c r="B4" s="1"/>
      <c r="C4" s="2" t="s">
        <v>15</v>
      </c>
      <c r="D4" s="28">
        <f>D3*'Вводные+табл.1'!E24</f>
        <v>0.24288040372660263</v>
      </c>
      <c r="E4" s="28">
        <f>E3*'Вводные+табл.1'!E24</f>
        <v>0.31227480479134628</v>
      </c>
      <c r="F4" s="28">
        <f>F3*'Вводные+табл.1'!E24</f>
        <v>0.38166920585608993</v>
      </c>
      <c r="G4" s="28">
        <f>G3*'Вводные+табл.1'!E24</f>
        <v>0.45106360692083353</v>
      </c>
      <c r="H4" s="28">
        <f>H3*'Вводные+табл.1'!E24</f>
        <v>0.52045800798557718</v>
      </c>
      <c r="I4" s="28">
        <f>I3*'Вводные+табл.1'!E24</f>
        <v>0.58985240905032077</v>
      </c>
      <c r="J4" s="28">
        <f>J3*'Вводные+табл.1'!E24</f>
        <v>0.65924681011506436</v>
      </c>
      <c r="K4" s="29">
        <f>K3*'Вводные+табл.1'!E24</f>
        <v>0.68006513043448746</v>
      </c>
    </row>
    <row r="5" spans="1:11" ht="18" customHeight="1" x14ac:dyDescent="0.3">
      <c r="A5" s="2">
        <v>3</v>
      </c>
      <c r="B5" s="1"/>
      <c r="C5" s="2"/>
      <c r="D5" s="30">
        <f>0.1+0.44*(1-D3)^2</f>
        <v>0.28590000000000004</v>
      </c>
      <c r="E5" s="30">
        <f>0.1+0.44*(1-E3)^2</f>
        <v>0.23310000000000003</v>
      </c>
      <c r="F5" s="30">
        <f t="shared" ref="F5:K5" si="0">0.1+0.44*(1-F3)^2</f>
        <v>0.18909999999999999</v>
      </c>
      <c r="G5" s="30">
        <f t="shared" si="0"/>
        <v>0.15390000000000001</v>
      </c>
      <c r="H5" s="30">
        <f t="shared" si="0"/>
        <v>0.1275</v>
      </c>
      <c r="I5" s="30">
        <f t="shared" si="0"/>
        <v>0.10990000000000001</v>
      </c>
      <c r="J5" s="30">
        <f t="shared" si="0"/>
        <v>0.10110000000000001</v>
      </c>
      <c r="K5" s="33">
        <f t="shared" si="0"/>
        <v>0.100176</v>
      </c>
    </row>
    <row r="6" spans="1:11" ht="18" customHeight="1" x14ac:dyDescent="0.3">
      <c r="A6" s="2">
        <v>4</v>
      </c>
      <c r="B6" s="3" t="s">
        <v>12</v>
      </c>
      <c r="C6" s="2" t="s">
        <v>16</v>
      </c>
      <c r="D6" s="16">
        <v>4</v>
      </c>
      <c r="E6" s="16">
        <v>4</v>
      </c>
      <c r="F6" s="16">
        <v>4</v>
      </c>
      <c r="G6" s="16">
        <v>4</v>
      </c>
      <c r="H6" s="16">
        <v>4</v>
      </c>
      <c r="I6" s="16">
        <v>4</v>
      </c>
      <c r="J6" s="16">
        <v>4</v>
      </c>
      <c r="K6" s="16">
        <v>4</v>
      </c>
    </row>
    <row r="7" spans="1:11" ht="18" customHeight="1" x14ac:dyDescent="0.3">
      <c r="A7" s="2">
        <v>5</v>
      </c>
      <c r="B7" s="4"/>
      <c r="C7" s="2"/>
      <c r="D7" s="29">
        <f>0.264+0.084*D6+2.32*(D5-0.12)</f>
        <v>0.98488800000000021</v>
      </c>
      <c r="E7" s="29">
        <f t="shared" ref="E7:K7" si="1">0.264+0.084*E6+2.32*(E5-0.12)</f>
        <v>0.86239200000000016</v>
      </c>
      <c r="F7" s="29">
        <f t="shared" si="1"/>
        <v>0.7603120000000001</v>
      </c>
      <c r="G7" s="29">
        <f t="shared" si="1"/>
        <v>0.67864800000000014</v>
      </c>
      <c r="H7" s="29">
        <f t="shared" si="1"/>
        <v>0.61740000000000006</v>
      </c>
      <c r="I7" s="29">
        <f t="shared" si="1"/>
        <v>0.57656800000000008</v>
      </c>
      <c r="J7" s="29">
        <f t="shared" si="1"/>
        <v>0.55615200000000009</v>
      </c>
      <c r="K7" s="29">
        <f t="shared" si="1"/>
        <v>0.55400832000000011</v>
      </c>
    </row>
    <row r="8" spans="1:11" ht="18" customHeight="1" x14ac:dyDescent="0.3">
      <c r="A8" s="2">
        <v>6</v>
      </c>
      <c r="B8" s="5" t="s">
        <v>14</v>
      </c>
      <c r="C8" s="39"/>
      <c r="D8" s="21">
        <f>К!C7</f>
        <v>67.407779335694869</v>
      </c>
      <c r="E8" s="21">
        <f>К!C8</f>
        <v>45.151066568466852</v>
      </c>
      <c r="F8" s="21">
        <f>К!C9</f>
        <v>53.009399113476235</v>
      </c>
      <c r="G8" s="21">
        <f>К!C10</f>
        <v>54.895666938342934</v>
      </c>
      <c r="H8" s="21">
        <f>К!C11</f>
        <v>51.721140567626954</v>
      </c>
      <c r="I8" s="21">
        <f>К!C12</f>
        <v>47.699555302092307</v>
      </c>
      <c r="J8" s="21">
        <f>К!C13</f>
        <v>45.182828620594989</v>
      </c>
      <c r="K8" s="21">
        <f>К!C14</f>
        <v>44.899336891359994</v>
      </c>
    </row>
    <row r="9" spans="1:11" ht="18" customHeight="1" x14ac:dyDescent="0.3">
      <c r="A9" s="2">
        <v>7</v>
      </c>
      <c r="B9" s="6"/>
      <c r="C9" s="2" t="s">
        <v>17</v>
      </c>
      <c r="D9" s="28">
        <f>1/D8</f>
        <v>1.4835082980852088E-2</v>
      </c>
      <c r="E9" s="28">
        <f t="shared" ref="E9:K9" si="2">1/E8</f>
        <v>2.2147871047156882E-2</v>
      </c>
      <c r="F9" s="28">
        <f t="shared" si="2"/>
        <v>1.8864579050581552E-2</v>
      </c>
      <c r="G9" s="28">
        <f t="shared" si="2"/>
        <v>1.8216374001306299E-2</v>
      </c>
      <c r="H9" s="28">
        <f t="shared" si="2"/>
        <v>1.933445374609382E-2</v>
      </c>
      <c r="I9" s="28">
        <f t="shared" si="2"/>
        <v>2.0964556035517917E-2</v>
      </c>
      <c r="J9" s="28">
        <f t="shared" si="2"/>
        <v>2.2132301817513599E-2</v>
      </c>
      <c r="K9" s="28">
        <f t="shared" si="2"/>
        <v>2.2272043848211721E-2</v>
      </c>
    </row>
    <row r="10" spans="1:11" ht="18" customHeight="1" x14ac:dyDescent="0.3">
      <c r="A10" s="2">
        <v>8</v>
      </c>
      <c r="B10" s="1"/>
      <c r="C10" s="2" t="s">
        <v>18</v>
      </c>
      <c r="D10" s="18">
        <f>'Вводные+табл.1'!E13*'Для ВС-2'!D4</f>
        <v>73.74577698350835</v>
      </c>
      <c r="E10" s="18">
        <f>'Вводные+табл.1'!E13*'Для ВС-2'!E4</f>
        <v>94.815998978796472</v>
      </c>
      <c r="F10" s="18">
        <f>'Вводные+табл.1'!E13*'Для ВС-2'!F4</f>
        <v>115.88622097408458</v>
      </c>
      <c r="G10" s="18">
        <f>'Вводные+табл.1'!E13*'Для ВС-2'!G4</f>
        <v>136.95644296937269</v>
      </c>
      <c r="H10" s="18">
        <f>'Вводные+табл.1'!E13*'Для ВС-2'!H4</f>
        <v>158.0266649646608</v>
      </c>
      <c r="I10" s="18">
        <f>'Вводные+табл.1'!E13*'Для ВС-2'!I4</f>
        <v>179.0968869599489</v>
      </c>
      <c r="J10" s="18">
        <f>'Вводные+табл.1'!E13*'Для ВС-2'!J4</f>
        <v>200.16710895523698</v>
      </c>
      <c r="K10" s="18">
        <f>'Вводные+табл.1'!E13*'Для ВС-2'!K4</f>
        <v>206.48817555382342</v>
      </c>
    </row>
    <row r="11" spans="1:11" ht="18" customHeight="1" x14ac:dyDescent="0.3">
      <c r="A11" s="2">
        <v>9</v>
      </c>
      <c r="B11" s="1" t="s">
        <v>13</v>
      </c>
      <c r="C11" s="2" t="s">
        <v>15</v>
      </c>
      <c r="D11" s="33">
        <f>4 *0.08 * SQRT(D4 * ('Вводные+табл.1'!E24- 'Для ВС-2'!D4))</f>
        <v>0.10591686325521403</v>
      </c>
      <c r="E11" s="33">
        <f>4 *0.08 * SQRT(E4 * ('Вводные+табл.1'!E24- 'Для ВС-2'!E4))</f>
        <v>0.11047449162393305</v>
      </c>
      <c r="F11" s="33">
        <f>4 *0.08 * SQRT(F4 * ('Вводные+табл.1'!E24- 'Для ВС-2'!F4))</f>
        <v>0.11047449162393305</v>
      </c>
      <c r="G11" s="33">
        <f>4 *0.08 * SQRT(G4 * ('Вводные+табл.1'!E24- 'Для ВС-2'!G4))</f>
        <v>0.10591686325521403</v>
      </c>
      <c r="H11" s="33">
        <f>4 *0.08 * SQRT(H4 * ('Вводные+табл.1'!E24- 'Для ВС-2'!H4))</f>
        <v>9.6155702723958181E-2</v>
      </c>
      <c r="I11" s="33">
        <f>4 *0.08 * SQRT(I4 * ('Вводные+табл.1'!E24- 'Для ВС-2'!I4))</f>
        <v>7.9292023767274275E-2</v>
      </c>
      <c r="J11" s="33">
        <f>4 *0.08 * SQRT(J4 * ('Вводные+табл.1'!E24- 'Для ВС-2'!J4))</f>
        <v>4.839730903819979E-2</v>
      </c>
      <c r="K11" s="33">
        <f>4 *0.08 * SQRT(K4 * ('Вводные+табл.1'!E24- 'Для ВС-2'!K4))</f>
        <v>3.1088691677005113E-2</v>
      </c>
    </row>
    <row r="12" spans="1:11" ht="33.6" customHeight="1" x14ac:dyDescent="0.3">
      <c r="A12" s="2">
        <v>10</v>
      </c>
      <c r="B12" s="1"/>
      <c r="C12" s="2" t="s">
        <v>18</v>
      </c>
      <c r="D12" s="34">
        <f>SQRT(D10^2 + 'Вводные+табл.1'!E26^2)</f>
        <v>78.468457156305945</v>
      </c>
      <c r="E12" s="34">
        <f>SQRT(E10^2 + 'Вводные+табл.1'!F26^2)</f>
        <v>94.815998978796472</v>
      </c>
      <c r="F12" s="34">
        <f>SQRT(F10^2 + 'Вводные+табл.1'!G26^2)</f>
        <v>115.88622097408458</v>
      </c>
      <c r="G12" s="34">
        <f>SQRT(G10^2 + 'Вводные+табл.1'!H26^2)</f>
        <v>136.95644296937269</v>
      </c>
      <c r="H12" s="34">
        <f>SQRT(H10^2 + 'Вводные+табл.1'!I26^2)</f>
        <v>158.0266649646608</v>
      </c>
      <c r="I12" s="34">
        <f>SQRT(I10^2 + 'Вводные+табл.1'!J26^2)</f>
        <v>179.0968869599489</v>
      </c>
      <c r="J12" s="34">
        <f>SQRT(J10^2 + 'Вводные+табл.1'!K26^2)</f>
        <v>200.16710895523698</v>
      </c>
      <c r="K12" s="34">
        <f>SQRT(K10^2 + 'Вводные+табл.1'!L26^2)</f>
        <v>206.48817555382342</v>
      </c>
    </row>
    <row r="13" spans="1:11" ht="18" customHeight="1" x14ac:dyDescent="0.3">
      <c r="A13" s="2">
        <v>11</v>
      </c>
      <c r="B13" s="1"/>
      <c r="C13" s="2" t="s">
        <v>16</v>
      </c>
      <c r="D13" s="35">
        <f>DEGREES(ATAN('Вводные+табл.1'!E26/D10))</f>
        <v>19.979608584114835</v>
      </c>
      <c r="E13" s="35">
        <f>DEGREES(ATAN('Вводные+табл.1'!E26/E10))</f>
        <v>15.789551336522463</v>
      </c>
      <c r="F13" s="35">
        <f>DEGREES(ATAN('Вводные+табл.1'!E26/F10))</f>
        <v>13.026802634001825</v>
      </c>
      <c r="G13" s="35">
        <f>DEGREES(ATAN('Вводные+табл.1'!E26/G10))</f>
        <v>11.076537627968463</v>
      </c>
      <c r="H13" s="35">
        <f>DEGREES(ATAN('Вводные+табл.1'!E26/H10))</f>
        <v>9.6293733346869796</v>
      </c>
      <c r="I13" s="35">
        <f>DEGREES(ATAN('Вводные+табл.1'!E26/I10))</f>
        <v>8.514187409482938</v>
      </c>
      <c r="J13" s="35">
        <f>DEGREES(ATAN('Вводные+табл.1'!E26/J10))</f>
        <v>7.6291208570449607</v>
      </c>
      <c r="K13" s="35">
        <f>DEGREES(ATAN('Вводные+табл.1'!E26/K10))</f>
        <v>7.3982036918799157</v>
      </c>
    </row>
    <row r="14" spans="1:11" ht="18" customHeight="1" x14ac:dyDescent="0.3">
      <c r="A14" s="2">
        <v>12</v>
      </c>
      <c r="B14" s="1"/>
      <c r="C14" s="2" t="s">
        <v>19</v>
      </c>
      <c r="D14" s="36">
        <f>D11*(E4-D4)</f>
        <v>7.3500372882519321E-3</v>
      </c>
      <c r="E14" s="36">
        <f>E11*(F4-E4)</f>
        <v>7.6663111791748732E-3</v>
      </c>
      <c r="F14" s="36">
        <f t="shared" ref="F14:J14" si="3">F11*(G4-F4)</f>
        <v>7.6663111791748671E-3</v>
      </c>
      <c r="G14" s="36">
        <f t="shared" si="3"/>
        <v>7.3500372882519321E-3</v>
      </c>
      <c r="H14" s="36">
        <f t="shared" si="3"/>
        <v>6.6726673994886116E-3</v>
      </c>
      <c r="I14" s="36">
        <f t="shared" si="3"/>
        <v>5.502422498541412E-3</v>
      </c>
      <c r="J14" s="36">
        <f t="shared" si="3"/>
        <v>1.007550682155354E-3</v>
      </c>
      <c r="K14" s="36">
        <f>K11*(K4-J4)</f>
        <v>6.4721434164367539E-4</v>
      </c>
    </row>
    <row r="15" spans="1:11" ht="18" customHeight="1" x14ac:dyDescent="0.3">
      <c r="A15" s="2">
        <v>13</v>
      </c>
      <c r="B15" s="1"/>
      <c r="C15" s="2" t="s">
        <v>20</v>
      </c>
      <c r="D15" s="37">
        <f>(D7^2 * 'Вводные+табл.1'!E14 * D12^2 * D14)/2</f>
        <v>26.859531051132087</v>
      </c>
      <c r="E15" s="37">
        <f>(E7^2 * 'Вводные+табл.1'!E14 * E12^2 * E14)/2</f>
        <v>31.362024976263751</v>
      </c>
      <c r="F15" s="37">
        <f>(F7^2 * 'Вводные+табл.1'!E14 * F12^2 * F14)/2</f>
        <v>36.414864607752556</v>
      </c>
      <c r="G15" s="37">
        <f>(G7^2 * 'Вводные+табл.1'!E14 * G12^2 * G14)/2</f>
        <v>38.849782326002192</v>
      </c>
      <c r="H15" s="37">
        <f>(H7^2 * 'Вводные+табл.1'!E14 * H12^2 * H14)/2</f>
        <v>38.863189659309199</v>
      </c>
      <c r="I15" s="37">
        <f>(I7^2 * 'Вводные+табл.1'!E14 * I12^2 * I14)/2</f>
        <v>35.898478557043831</v>
      </c>
      <c r="J15" s="37">
        <f>(J7^2 * 'Вводные+табл.1'!E14 * J12^2 * J14)/2</f>
        <v>7.63984074613776</v>
      </c>
      <c r="K15" s="37">
        <f>(K7^2 * 'Вводные+табл.1'!E14 * K12^2 * K14)/2</f>
        <v>5.1822223686175262</v>
      </c>
    </row>
    <row r="16" spans="1:11" ht="18" customHeight="1" x14ac:dyDescent="0.3">
      <c r="A16" s="2">
        <v>14</v>
      </c>
      <c r="B16" s="1"/>
      <c r="C16" s="2" t="s">
        <v>16</v>
      </c>
      <c r="D16" s="18">
        <f>D13+57.3*D9</f>
        <v>20.829658838917659</v>
      </c>
      <c r="E16" s="18">
        <f t="shared" ref="E16:K16" si="4">E13+57.3*E9</f>
        <v>17.058624347524553</v>
      </c>
      <c r="F16" s="18">
        <f t="shared" si="4"/>
        <v>14.107743013600148</v>
      </c>
      <c r="G16" s="18">
        <f t="shared" si="4"/>
        <v>12.120335858243314</v>
      </c>
      <c r="H16" s="18">
        <f t="shared" si="4"/>
        <v>10.737237534338156</v>
      </c>
      <c r="I16" s="18">
        <f t="shared" si="4"/>
        <v>9.7154564703181148</v>
      </c>
      <c r="J16" s="18">
        <f t="shared" si="4"/>
        <v>8.8973017511884898</v>
      </c>
      <c r="K16" s="18">
        <f t="shared" si="4"/>
        <v>8.6743918043824468</v>
      </c>
    </row>
    <row r="17" spans="1:11" ht="18" customHeight="1" x14ac:dyDescent="0.3">
      <c r="A17" s="2">
        <v>15</v>
      </c>
      <c r="B17" s="1"/>
      <c r="C17" s="2" t="s">
        <v>16</v>
      </c>
      <c r="D17" s="18">
        <f>D13+D6</f>
        <v>23.979608584114835</v>
      </c>
      <c r="E17" s="18">
        <f t="shared" ref="E17:J17" si="5">E13+E6</f>
        <v>19.789551336522464</v>
      </c>
      <c r="F17" s="18">
        <f t="shared" si="5"/>
        <v>17.026802634001825</v>
      </c>
      <c r="G17" s="18">
        <f t="shared" si="5"/>
        <v>15.076537627968463</v>
      </c>
      <c r="H17" s="18">
        <f t="shared" si="5"/>
        <v>13.62937333468698</v>
      </c>
      <c r="I17" s="18">
        <f t="shared" si="5"/>
        <v>12.514187409482938</v>
      </c>
      <c r="J17" s="18">
        <f t="shared" si="5"/>
        <v>11.62912085704496</v>
      </c>
      <c r="K17" s="18">
        <f>K13+K6</f>
        <v>11.398203691879916</v>
      </c>
    </row>
    <row r="18" spans="1:11" ht="18" customHeight="1" x14ac:dyDescent="0.3">
      <c r="A18" s="2">
        <v>16</v>
      </c>
      <c r="B18" s="1"/>
      <c r="C18" s="2" t="s">
        <v>20</v>
      </c>
      <c r="D18" s="38">
        <f>2*D15*COS(RADIANS(D16))</f>
        <v>50.208077246332216</v>
      </c>
      <c r="E18" s="38">
        <f>2*E15*COS(RADIANS(E16))</f>
        <v>59.964511913509511</v>
      </c>
      <c r="F18" s="38">
        <f t="shared" ref="F18:K18" si="6">2*F15*COS(RADIANS(F16))</f>
        <v>70.633117872684522</v>
      </c>
      <c r="G18" s="38">
        <f t="shared" si="6"/>
        <v>75.967546231593587</v>
      </c>
      <c r="H18" s="38">
        <f t="shared" si="6"/>
        <v>76.36553973149725</v>
      </c>
      <c r="I18" s="38">
        <f t="shared" si="6"/>
        <v>70.767243752714592</v>
      </c>
      <c r="J18" s="38">
        <f t="shared" si="6"/>
        <v>15.095823384478267</v>
      </c>
      <c r="K18" s="38">
        <f t="shared" si="6"/>
        <v>10.245889934308776</v>
      </c>
    </row>
    <row r="19" spans="1:11" ht="18" customHeight="1" x14ac:dyDescent="0.3">
      <c r="A19" s="2">
        <v>17</v>
      </c>
      <c r="B19" s="1"/>
      <c r="C19" s="2" t="s">
        <v>21</v>
      </c>
      <c r="D19" s="37">
        <f>2*D15*D10*SIN(RADIANS(D16))</f>
        <v>1408.6922341650566</v>
      </c>
      <c r="E19" s="37">
        <f t="shared" ref="E19:K19" si="7">2*E15*E10*SIN(RADIANS(E16))</f>
        <v>1744.6240519556582</v>
      </c>
      <c r="F19" s="37">
        <f t="shared" si="7"/>
        <v>2057.2076681246613</v>
      </c>
      <c r="G19" s="37">
        <f t="shared" si="7"/>
        <v>2234.3396080699331</v>
      </c>
      <c r="H19" s="37">
        <f t="shared" si="7"/>
        <v>2288.3569762284733</v>
      </c>
      <c r="I19" s="37">
        <f t="shared" si="7"/>
        <v>2169.9586248344031</v>
      </c>
      <c r="J19" s="37">
        <f t="shared" si="7"/>
        <v>473.03781756776709</v>
      </c>
      <c r="K19" s="37">
        <f t="shared" si="7"/>
        <v>322.77306442699052</v>
      </c>
    </row>
    <row r="20" spans="1:11" ht="18" customHeight="1" x14ac:dyDescent="0.3">
      <c r="A20" s="2">
        <v>18</v>
      </c>
      <c r="B20" s="1"/>
      <c r="C20" s="2" t="s">
        <v>20</v>
      </c>
      <c r="D20" s="18">
        <f>D18</f>
        <v>50.208077246332216</v>
      </c>
      <c r="E20" s="18">
        <f>D18+E18</f>
        <v>110.17258915984172</v>
      </c>
      <c r="F20" s="18">
        <f>SUM(D18,E18,F18)</f>
        <v>180.80570703252624</v>
      </c>
      <c r="G20" s="18">
        <f>D18+E18+F18+G18</f>
        <v>256.77325326411983</v>
      </c>
      <c r="H20" s="18">
        <f>D18+E18+F18+G18+H18</f>
        <v>333.13879299561711</v>
      </c>
      <c r="I20" s="18">
        <f>D18+E18+F18+G18+H18+I18</f>
        <v>403.9060367483317</v>
      </c>
      <c r="J20" s="18">
        <f>D18+E18+F18+G18+H18+I18+J18</f>
        <v>419.00186013280995</v>
      </c>
      <c r="K20" s="18">
        <f>SUM(D18:K18)</f>
        <v>429.24775006711872</v>
      </c>
    </row>
    <row r="21" spans="1:11" ht="18" customHeight="1" x14ac:dyDescent="0.3">
      <c r="A21" s="2">
        <v>19</v>
      </c>
      <c r="B21" s="1"/>
      <c r="C21" s="2" t="s">
        <v>21</v>
      </c>
      <c r="D21" s="21">
        <f>D19</f>
        <v>1408.6922341650566</v>
      </c>
      <c r="E21" s="21">
        <f>SUM(D19:E19)</f>
        <v>3153.3162861207147</v>
      </c>
      <c r="F21" s="21">
        <f>SUM(D19:F19)</f>
        <v>5210.5239542453764</v>
      </c>
      <c r="G21" s="21">
        <f>SUM(D19:G19)</f>
        <v>7444.8635623153095</v>
      </c>
      <c r="H21" s="21">
        <f>SUM(D19:H19)</f>
        <v>9733.2205385437828</v>
      </c>
      <c r="I21" s="21">
        <f>SUM(D19:I19)</f>
        <v>11903.179163378187</v>
      </c>
      <c r="J21" s="21">
        <f>SUM(D19:J19)</f>
        <v>12376.216980945954</v>
      </c>
      <c r="K21" s="21">
        <f>SUM(D19:K19)</f>
        <v>12698.990045372944</v>
      </c>
    </row>
  </sheetData>
  <mergeCells count="4">
    <mergeCell ref="D2:K2"/>
    <mergeCell ref="B2:B3"/>
    <mergeCell ref="A2:A3"/>
    <mergeCell ref="C2:C3"/>
  </mergeCells>
  <pageMargins left="0.7" right="0.7" top="0.75" bottom="0.75" header="0.3" footer="0.3"/>
  <pageSetup paperSize="9" scale="6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0C751-C6F6-4827-8CF2-1737810FFDAE}">
  <dimension ref="B2:J10"/>
  <sheetViews>
    <sheetView workbookViewId="0">
      <selection activeCell="B11" sqref="B11"/>
    </sheetView>
  </sheetViews>
  <sheetFormatPr defaultRowHeight="14.4" x14ac:dyDescent="0.3"/>
  <cols>
    <col min="2" max="2" width="27.6640625" customWidth="1"/>
  </cols>
  <sheetData>
    <row r="2" spans="2:10" ht="15.6" x14ac:dyDescent="0.3">
      <c r="B2" s="49" t="s">
        <v>30</v>
      </c>
      <c r="C2" s="49"/>
      <c r="D2" s="49"/>
      <c r="E2" s="49"/>
      <c r="F2" s="49"/>
      <c r="G2" s="49"/>
      <c r="H2" s="49"/>
      <c r="I2" s="49"/>
      <c r="J2" s="49"/>
    </row>
    <row r="3" spans="2:10" ht="15.6" x14ac:dyDescent="0.3">
      <c r="B3" s="56" t="s">
        <v>31</v>
      </c>
      <c r="C3" s="57" t="s">
        <v>32</v>
      </c>
      <c r="D3" s="57"/>
      <c r="E3" s="57"/>
      <c r="F3" s="57"/>
      <c r="G3" s="57"/>
      <c r="H3" s="57"/>
      <c r="I3" s="57"/>
      <c r="J3" s="57"/>
    </row>
    <row r="4" spans="2:10" ht="15.6" x14ac:dyDescent="0.3">
      <c r="B4" s="56"/>
      <c r="C4" s="9">
        <f>'Для ВС-2'!D3</f>
        <v>0.35</v>
      </c>
      <c r="D4" s="9">
        <f>'Для ВС-2'!E3</f>
        <v>0.45</v>
      </c>
      <c r="E4" s="9">
        <f>'Для ВС-2'!F3</f>
        <v>0.55000000000000004</v>
      </c>
      <c r="F4" s="9">
        <f>'Для ВС-2'!G3</f>
        <v>0.65</v>
      </c>
      <c r="G4" s="9">
        <f>'Для ВС-2'!H3</f>
        <v>0.75</v>
      </c>
      <c r="H4" s="9">
        <f>'Для ВС-2'!I3</f>
        <v>0.85</v>
      </c>
      <c r="I4" s="9">
        <f>'Для ВС-2'!J3</f>
        <v>0.95</v>
      </c>
      <c r="J4" s="9">
        <f>'Для ВС-2'!K3</f>
        <v>0.98</v>
      </c>
    </row>
    <row r="5" spans="2:10" ht="15.6" x14ac:dyDescent="0.3">
      <c r="B5" s="26" t="s">
        <v>33</v>
      </c>
      <c r="C5" s="11">
        <f>'Для ВС-2'!D4*100</f>
        <v>24.288040372660262</v>
      </c>
      <c r="D5" s="11">
        <f>'Для ВС-2'!E4*100</f>
        <v>31.227480479134627</v>
      </c>
      <c r="E5" s="11">
        <f>'Для ВС-2'!F4*100</f>
        <v>38.166920585608992</v>
      </c>
      <c r="F5" s="11">
        <f>'Для ВС-2'!G4*100</f>
        <v>45.106360692083349</v>
      </c>
      <c r="G5" s="11">
        <f>'Для ВС-2'!H4*100</f>
        <v>52.045800798557721</v>
      </c>
      <c r="H5" s="11">
        <f>'Для ВС-2'!I4*100</f>
        <v>58.985240905032079</v>
      </c>
      <c r="I5" s="11">
        <f>'Для ВС-2'!J4*100</f>
        <v>65.924681011506436</v>
      </c>
      <c r="J5" s="11">
        <f>'Для ВС-2'!K4*100</f>
        <v>68.006513043448749</v>
      </c>
    </row>
    <row r="6" spans="2:10" ht="15.6" x14ac:dyDescent="0.3">
      <c r="B6" s="26" t="s">
        <v>34</v>
      </c>
      <c r="C6" s="11">
        <f>'Для ВС-2'!D11*100</f>
        <v>10.591686325521403</v>
      </c>
      <c r="D6" s="11">
        <f>'Для ВС-2'!E11*100</f>
        <v>11.047449162393304</v>
      </c>
      <c r="E6" s="11">
        <f>'Для ВС-2'!F11*100</f>
        <v>11.047449162393304</v>
      </c>
      <c r="F6" s="11">
        <f>'Для ВС-2'!G11*100</f>
        <v>10.591686325521403</v>
      </c>
      <c r="G6" s="11">
        <f>'Для ВС-2'!H11*100</f>
        <v>9.6155702723958179</v>
      </c>
      <c r="H6" s="11">
        <f>'Для ВС-2'!I11*100</f>
        <v>7.9292023767274271</v>
      </c>
      <c r="I6" s="12">
        <f>'Для ВС-2'!J11*100</f>
        <v>4.8397309038199792</v>
      </c>
      <c r="J6" s="11">
        <f>'Для ВС-2'!K11*100</f>
        <v>3.1088691677005111</v>
      </c>
    </row>
    <row r="7" spans="2:10" ht="15.6" x14ac:dyDescent="0.3">
      <c r="B7" s="26" t="s">
        <v>35</v>
      </c>
      <c r="C7" s="11">
        <f>'Для ВС-2'!D5*Геометрия!C6</f>
        <v>3.0281631204665693</v>
      </c>
      <c r="D7" s="11">
        <f>'Для ВС-2'!E5*Геометрия!D6</f>
        <v>2.5751603997538797</v>
      </c>
      <c r="E7" s="11">
        <f>'Для ВС-2'!F5*Геометрия!E6</f>
        <v>2.0890726366085737</v>
      </c>
      <c r="F7" s="11">
        <f>'Для ВС-2'!G5*Геометрия!F6</f>
        <v>1.6300605254977441</v>
      </c>
      <c r="G7" s="11">
        <f>'Для ВС-2'!H5*Геометрия!G6</f>
        <v>1.2259852097304669</v>
      </c>
      <c r="H7" s="11">
        <f>'Для ВС-2'!I5*Геометрия!H6</f>
        <v>0.87141934120234432</v>
      </c>
      <c r="I7" s="11">
        <f>'Для ВС-2'!J5*Геометрия!I6</f>
        <v>0.48929679437619994</v>
      </c>
      <c r="J7" s="11">
        <f>'Для ВС-2'!K5*Геометрия!J6</f>
        <v>0.31143407774356641</v>
      </c>
    </row>
    <row r="8" spans="2:10" ht="15.6" x14ac:dyDescent="0.3">
      <c r="B8" s="26" t="s">
        <v>36</v>
      </c>
      <c r="C8" s="11">
        <f>'Для ВС-2'!D17</f>
        <v>23.979608584114835</v>
      </c>
      <c r="D8" s="11">
        <f>'Для ВС-2'!E17</f>
        <v>19.789551336522464</v>
      </c>
      <c r="E8" s="11">
        <f>'Для ВС-2'!F17</f>
        <v>17.026802634001825</v>
      </c>
      <c r="F8" s="11">
        <f>'Для ВС-2'!G17</f>
        <v>15.076537627968463</v>
      </c>
      <c r="G8" s="11">
        <f>'Для ВС-2'!H17</f>
        <v>13.62937333468698</v>
      </c>
      <c r="H8" s="11">
        <f>'Для ВС-2'!I17</f>
        <v>12.514187409482938</v>
      </c>
      <c r="I8" s="11">
        <f>'Для ВС-2'!J17</f>
        <v>11.62912085704496</v>
      </c>
      <c r="J8" s="11">
        <f>'Для ВС-2'!K17</f>
        <v>11.398203691879916</v>
      </c>
    </row>
    <row r="9" spans="2:10" ht="15.6" x14ac:dyDescent="0.3">
      <c r="B9" s="51" t="s">
        <v>37</v>
      </c>
      <c r="G9" s="59">
        <f>2*PI()*(G5/100)*TAN(RADIANS(G8))</f>
        <v>0.79290351389924163</v>
      </c>
    </row>
    <row r="10" spans="2:10" ht="15.6" x14ac:dyDescent="0.3">
      <c r="B10" s="51" t="s">
        <v>38</v>
      </c>
      <c r="G10" s="60">
        <f>'Вводные+табл.1'!E24</f>
        <v>0.69394401064743616</v>
      </c>
    </row>
  </sheetData>
  <mergeCells count="2">
    <mergeCell ref="B3:B4"/>
    <mergeCell ref="C3:J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1AB8E-C1DC-4644-A2AA-BCAAEC29276B}">
  <dimension ref="B6:N21"/>
  <sheetViews>
    <sheetView workbookViewId="0">
      <selection activeCell="C6" sqref="C6"/>
    </sheetView>
  </sheetViews>
  <sheetFormatPr defaultRowHeight="14.4" x14ac:dyDescent="0.3"/>
  <sheetData>
    <row r="6" spans="2:14" x14ac:dyDescent="0.3">
      <c r="B6" s="1"/>
      <c r="C6" s="61" t="s">
        <v>14</v>
      </c>
      <c r="E6" s="1"/>
      <c r="F6" s="1"/>
      <c r="I6" s="1"/>
      <c r="J6" s="1"/>
      <c r="M6" s="1"/>
      <c r="N6" s="1"/>
    </row>
    <row r="7" spans="2:14" x14ac:dyDescent="0.3">
      <c r="B7" s="46">
        <f>'Для ВС-2'!D5</f>
        <v>0.28590000000000004</v>
      </c>
      <c r="C7" s="47">
        <f>J7-F7*(4-N7)^2</f>
        <v>67.407779335694869</v>
      </c>
      <c r="E7" s="46">
        <f t="shared" ref="E7:E14" si="0">B7</f>
        <v>0.28590000000000004</v>
      </c>
      <c r="F7" s="1">
        <f>0.72-1500*(E7-0.18)^3</f>
        <v>-1.0614725685000026</v>
      </c>
      <c r="I7" s="46">
        <f t="shared" ref="I7:I14" si="1">B7</f>
        <v>0.28590000000000004</v>
      </c>
      <c r="J7" s="1">
        <f>60-2200*(I7-0.18)^2</f>
        <v>35.32741799999998</v>
      </c>
      <c r="M7" s="46">
        <f t="shared" ref="M7:M14" si="2">B7</f>
        <v>0.28590000000000004</v>
      </c>
      <c r="N7" s="1">
        <f>4.6+25*(M7-0.09)</f>
        <v>9.4975000000000005</v>
      </c>
    </row>
    <row r="8" spans="2:14" x14ac:dyDescent="0.3">
      <c r="B8" s="46">
        <f>'Для ВС-2'!E5</f>
        <v>0.23310000000000003</v>
      </c>
      <c r="C8" s="47">
        <f t="shared" ref="C8:C14" si="3">J8-F8*(4-N8)^2</f>
        <v>45.151066568466852</v>
      </c>
      <c r="E8" s="46">
        <f t="shared" si="0"/>
        <v>0.23310000000000003</v>
      </c>
      <c r="F8" s="1">
        <f t="shared" ref="F8:F14" si="4">0.72-1500*(E8-0.18)^3</f>
        <v>0.49541806349999951</v>
      </c>
      <c r="I8" s="46">
        <f t="shared" si="1"/>
        <v>0.23310000000000003</v>
      </c>
      <c r="J8" s="1">
        <f t="shared" ref="J8:J14" si="5">60-2200*(I8-0.18)^2</f>
        <v>53.796857999999993</v>
      </c>
      <c r="M8" s="46">
        <f t="shared" si="2"/>
        <v>0.23310000000000003</v>
      </c>
      <c r="N8" s="1">
        <f t="shared" ref="N8:N14" si="6">4.6+25*(M8-0.09)</f>
        <v>8.1775000000000002</v>
      </c>
    </row>
    <row r="9" spans="2:14" x14ac:dyDescent="0.3">
      <c r="B9" s="46">
        <f>'Для ВС-2'!F5</f>
        <v>0.18909999999999999</v>
      </c>
      <c r="C9" s="47">
        <f t="shared" si="3"/>
        <v>53.009399113476235</v>
      </c>
      <c r="E9" s="46">
        <f t="shared" si="0"/>
        <v>0.18909999999999999</v>
      </c>
      <c r="F9" s="1">
        <f t="shared" si="4"/>
        <v>0.71886964349999993</v>
      </c>
      <c r="I9" s="46">
        <f t="shared" si="1"/>
        <v>0.18909999999999999</v>
      </c>
      <c r="J9" s="1">
        <f t="shared" si="5"/>
        <v>59.817818000000003</v>
      </c>
      <c r="M9" s="46">
        <f t="shared" si="2"/>
        <v>0.18909999999999999</v>
      </c>
      <c r="N9" s="1">
        <f t="shared" si="6"/>
        <v>7.0774999999999997</v>
      </c>
    </row>
    <row r="10" spans="2:14" x14ac:dyDescent="0.3">
      <c r="B10" s="46">
        <f>'Для ВС-2'!G5</f>
        <v>0.15390000000000001</v>
      </c>
      <c r="C10" s="47">
        <f t="shared" si="3"/>
        <v>54.895666938342934</v>
      </c>
      <c r="E10" s="46">
        <f t="shared" si="0"/>
        <v>0.15390000000000001</v>
      </c>
      <c r="F10" s="1">
        <f t="shared" si="4"/>
        <v>0.7466693714999999</v>
      </c>
      <c r="I10" s="46">
        <f t="shared" si="1"/>
        <v>0.15390000000000001</v>
      </c>
      <c r="J10" s="1">
        <f t="shared" si="5"/>
        <v>58.501338000000004</v>
      </c>
      <c r="M10" s="46">
        <f t="shared" si="2"/>
        <v>0.15390000000000001</v>
      </c>
      <c r="N10" s="1">
        <f t="shared" si="6"/>
        <v>6.1974999999999998</v>
      </c>
    </row>
    <row r="11" spans="2:14" x14ac:dyDescent="0.3">
      <c r="B11" s="46">
        <f>'Для ВС-2'!H5</f>
        <v>0.1275</v>
      </c>
      <c r="C11" s="47">
        <f t="shared" si="3"/>
        <v>51.721140567626954</v>
      </c>
      <c r="E11" s="46">
        <f t="shared" si="0"/>
        <v>0.1275</v>
      </c>
      <c r="F11" s="1">
        <f t="shared" si="4"/>
        <v>0.93705468749999987</v>
      </c>
      <c r="I11" s="46">
        <f t="shared" si="1"/>
        <v>0.1275</v>
      </c>
      <c r="J11" s="1">
        <f t="shared" si="5"/>
        <v>53.936250000000001</v>
      </c>
      <c r="M11" s="46">
        <f t="shared" si="2"/>
        <v>0.1275</v>
      </c>
      <c r="N11" s="1">
        <f t="shared" si="6"/>
        <v>5.5374999999999996</v>
      </c>
    </row>
    <row r="12" spans="2:14" x14ac:dyDescent="0.3">
      <c r="B12" s="46">
        <f>'Для ВС-2'!I5</f>
        <v>0.10990000000000001</v>
      </c>
      <c r="C12" s="47">
        <f t="shared" si="3"/>
        <v>47.699555302092307</v>
      </c>
      <c r="E12" s="46">
        <f t="shared" si="0"/>
        <v>0.10990000000000001</v>
      </c>
      <c r="F12" s="1">
        <f t="shared" si="4"/>
        <v>1.2367081514999996</v>
      </c>
      <c r="I12" s="46">
        <f t="shared" si="1"/>
        <v>0.10990000000000001</v>
      </c>
      <c r="J12" s="1">
        <f t="shared" si="5"/>
        <v>49.189178000000005</v>
      </c>
      <c r="M12" s="46">
        <f t="shared" si="2"/>
        <v>0.10990000000000001</v>
      </c>
      <c r="N12" s="1">
        <f t="shared" si="6"/>
        <v>5.0975000000000001</v>
      </c>
    </row>
    <row r="13" spans="2:14" x14ac:dyDescent="0.3">
      <c r="B13" s="46">
        <f>'Для ВС-2'!J5</f>
        <v>0.10110000000000001</v>
      </c>
      <c r="C13" s="47">
        <f t="shared" si="3"/>
        <v>45.182828620594989</v>
      </c>
      <c r="E13" s="46">
        <f t="shared" si="0"/>
        <v>0.10110000000000001</v>
      </c>
      <c r="F13" s="1">
        <f t="shared" si="4"/>
        <v>1.4567536034999995</v>
      </c>
      <c r="I13" s="46">
        <f t="shared" si="1"/>
        <v>0.10110000000000001</v>
      </c>
      <c r="J13" s="1">
        <f t="shared" si="5"/>
        <v>46.304538000000008</v>
      </c>
      <c r="M13" s="46">
        <f t="shared" si="2"/>
        <v>0.10110000000000001</v>
      </c>
      <c r="N13" s="1">
        <f t="shared" si="6"/>
        <v>4.8774999999999995</v>
      </c>
    </row>
    <row r="14" spans="2:14" x14ac:dyDescent="0.3">
      <c r="B14" s="48">
        <f>'Для ВС-2'!K5</f>
        <v>0.100176</v>
      </c>
      <c r="C14" s="47">
        <f t="shared" si="3"/>
        <v>44.899336891359994</v>
      </c>
      <c r="E14" s="48">
        <f t="shared" si="0"/>
        <v>0.100176</v>
      </c>
      <c r="F14" s="1">
        <f t="shared" si="4"/>
        <v>1.4829423431823359</v>
      </c>
      <c r="I14" s="48">
        <f t="shared" si="1"/>
        <v>0.100176</v>
      </c>
      <c r="J14" s="1">
        <f t="shared" si="5"/>
        <v>45.981883852800003</v>
      </c>
      <c r="M14" s="48">
        <f t="shared" si="2"/>
        <v>0.100176</v>
      </c>
      <c r="N14" s="1">
        <f t="shared" si="6"/>
        <v>4.8544</v>
      </c>
    </row>
    <row r="21" spans="11:11" x14ac:dyDescent="0.3">
      <c r="K21" s="4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Вводные+табл.1</vt:lpstr>
      <vt:lpstr>Для ВС-2</vt:lpstr>
      <vt:lpstr>Геометрия</vt:lpstr>
      <vt:lpstr>К</vt:lpstr>
      <vt:lpstr>'Вводные+табл.1'!Область_печати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lasttailor2017@gmail.com</dc:creator>
  <cp:lastModifiedBy>lasttailor2017@gmail.com</cp:lastModifiedBy>
  <cp:lastPrinted>2025-12-02T10:16:25Z</cp:lastPrinted>
  <dcterms:created xsi:type="dcterms:W3CDTF">2025-11-26T10:37:35Z</dcterms:created>
  <dcterms:modified xsi:type="dcterms:W3CDTF">2025-12-14T08:16:27Z</dcterms:modified>
</cp:coreProperties>
</file>