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tif" ContentType="image/tiff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drawings/drawing10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9795" tabRatio="648" activeTab="2"/>
  </bookViews>
  <sheets>
    <sheet name="Диаметр-Мощ-Тяга-Обороты" sheetId="1" r:id="rId1"/>
    <sheet name="Мощ-Диаметр-Ширина-Шаг-Угол" sheetId="2" r:id="rId2"/>
    <sheet name="Сеч 0,147" sheetId="16" r:id="rId3"/>
    <sheet name="Сеч 0,3" sheetId="13" r:id="rId4"/>
    <sheet name="Сеч 0,45" sheetId="17" r:id="rId5"/>
    <sheet name="Сеч 0,6" sheetId="18" r:id="rId6"/>
    <sheet name="Сеч 0,75" sheetId="19" r:id="rId7"/>
    <sheet name="Сеч 0,9" sheetId="20" r:id="rId8"/>
    <sheet name="Сеч 1" sheetId="21" r:id="rId9"/>
    <sheet name="Тяга" sheetId="9" r:id="rId10"/>
  </sheets>
  <calcPr calcId="145621"/>
  <customWorkbookViews>
    <customWorkbookView name="admin - Личное представление" guid="{D742600D-D7D6-4AD5-ABD5-876A4BE74A8D}" mergeInterval="0" personalView="1" maximized="1" windowWidth="1596" windowHeight="644" tabRatio="648" activeSheetId="1"/>
  </customWorkbookViews>
</workbook>
</file>

<file path=xl/calcChain.xml><?xml version="1.0" encoding="utf-8"?>
<calcChain xmlns="http://schemas.openxmlformats.org/spreadsheetml/2006/main">
  <c r="J27" i="21" l="1"/>
  <c r="G25" i="21"/>
  <c r="G24" i="21"/>
  <c r="G23" i="21"/>
  <c r="D28" i="21"/>
  <c r="C28" i="21"/>
  <c r="B28" i="21"/>
  <c r="D27" i="21"/>
  <c r="C27" i="21"/>
  <c r="B27" i="21"/>
  <c r="G26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G22" i="21"/>
  <c r="W24" i="21" s="1"/>
  <c r="Z21" i="21"/>
  <c r="AA21" i="21" s="1"/>
  <c r="W21" i="21"/>
  <c r="W20" i="21"/>
  <c r="Z19" i="21"/>
  <c r="AA19" i="21" s="1"/>
  <c r="W19" i="21"/>
  <c r="Z18" i="21"/>
  <c r="AA18" i="21" s="1"/>
  <c r="W18" i="21"/>
  <c r="Z17" i="21"/>
  <c r="AA17" i="21" s="1"/>
  <c r="W17" i="21"/>
  <c r="AA16" i="21"/>
  <c r="Z16" i="21"/>
  <c r="W16" i="21"/>
  <c r="Z15" i="21"/>
  <c r="AA15" i="21" s="1"/>
  <c r="W15" i="21"/>
  <c r="Z14" i="21"/>
  <c r="AG36" i="21" s="1"/>
  <c r="W14" i="21"/>
  <c r="Z13" i="21"/>
  <c r="AA13" i="21" s="1"/>
  <c r="W13" i="21"/>
  <c r="Z12" i="21"/>
  <c r="AA12" i="21" s="1"/>
  <c r="W12" i="21"/>
  <c r="AA11" i="21"/>
  <c r="Z11" i="21"/>
  <c r="W11" i="21"/>
  <c r="Z10" i="21"/>
  <c r="AA10" i="21" s="1"/>
  <c r="W10" i="21"/>
  <c r="AA9" i="21"/>
  <c r="Z9" i="21"/>
  <c r="W9" i="21"/>
  <c r="Z8" i="21"/>
  <c r="AA8" i="21" s="1"/>
  <c r="W8" i="21"/>
  <c r="AA7" i="21"/>
  <c r="Z7" i="21"/>
  <c r="W7" i="21"/>
  <c r="Z6" i="21"/>
  <c r="AA6" i="21" s="1"/>
  <c r="W6" i="21"/>
  <c r="AA5" i="21"/>
  <c r="Z5" i="21"/>
  <c r="W5" i="21"/>
  <c r="Z4" i="21"/>
  <c r="AA4" i="21" s="1"/>
  <c r="W4" i="21"/>
  <c r="V4" i="21" s="1"/>
  <c r="G24" i="20"/>
  <c r="G23" i="20"/>
  <c r="D28" i="20"/>
  <c r="C28" i="20"/>
  <c r="B28" i="20"/>
  <c r="D27" i="20"/>
  <c r="C27" i="20"/>
  <c r="B27" i="20"/>
  <c r="G26" i="20"/>
  <c r="D26" i="20"/>
  <c r="C26" i="20"/>
  <c r="B26" i="20"/>
  <c r="D25" i="20"/>
  <c r="C25" i="20"/>
  <c r="B25" i="20"/>
  <c r="D24" i="20"/>
  <c r="C24" i="20"/>
  <c r="B24" i="20"/>
  <c r="W23" i="20"/>
  <c r="D23" i="20"/>
  <c r="C23" i="20"/>
  <c r="B23" i="20"/>
  <c r="W22" i="20"/>
  <c r="G22" i="20"/>
  <c r="W24" i="20" s="1"/>
  <c r="Z21" i="20"/>
  <c r="AA21" i="20" s="1"/>
  <c r="W21" i="20"/>
  <c r="Z20" i="20"/>
  <c r="AA20" i="20" s="1"/>
  <c r="W20" i="20"/>
  <c r="Z19" i="20"/>
  <c r="AA19" i="20" s="1"/>
  <c r="W19" i="20"/>
  <c r="Z18" i="20"/>
  <c r="AA18" i="20" s="1"/>
  <c r="W18" i="20"/>
  <c r="Z17" i="20"/>
  <c r="AA17" i="20" s="1"/>
  <c r="W17" i="20"/>
  <c r="Z16" i="20"/>
  <c r="AA16" i="20" s="1"/>
  <c r="W16" i="20"/>
  <c r="Z15" i="20"/>
  <c r="AA15" i="20" s="1"/>
  <c r="W15" i="20"/>
  <c r="Z14" i="20"/>
  <c r="AG36" i="20" s="1"/>
  <c r="W14" i="20"/>
  <c r="Z13" i="20"/>
  <c r="AA13" i="20" s="1"/>
  <c r="W13" i="20"/>
  <c r="Z12" i="20"/>
  <c r="AA12" i="20" s="1"/>
  <c r="W12" i="20"/>
  <c r="Z11" i="20"/>
  <c r="AA11" i="20" s="1"/>
  <c r="W11" i="20"/>
  <c r="AA10" i="20"/>
  <c r="Z10" i="20"/>
  <c r="W10" i="20"/>
  <c r="Z9" i="20"/>
  <c r="AA9" i="20" s="1"/>
  <c r="W9" i="20"/>
  <c r="Z8" i="20"/>
  <c r="AA8" i="20" s="1"/>
  <c r="W8" i="20"/>
  <c r="Z7" i="20"/>
  <c r="AA7" i="20" s="1"/>
  <c r="W7" i="20"/>
  <c r="Z6" i="20"/>
  <c r="AA6" i="20" s="1"/>
  <c r="W6" i="20"/>
  <c r="Z5" i="20"/>
  <c r="AA5" i="20" s="1"/>
  <c r="W5" i="20"/>
  <c r="Z4" i="20"/>
  <c r="AA4" i="20" s="1"/>
  <c r="W4" i="20"/>
  <c r="V4" i="20" s="1"/>
  <c r="G23" i="18"/>
  <c r="G23" i="17"/>
  <c r="G23" i="16"/>
  <c r="G23" i="19"/>
  <c r="G24" i="19"/>
  <c r="D28" i="19"/>
  <c r="C28" i="19"/>
  <c r="B28" i="19"/>
  <c r="D27" i="19"/>
  <c r="C27" i="19"/>
  <c r="B27" i="19"/>
  <c r="G26" i="19"/>
  <c r="D26" i="19"/>
  <c r="C26" i="19"/>
  <c r="B26" i="19"/>
  <c r="D25" i="19"/>
  <c r="C25" i="19"/>
  <c r="B25" i="19"/>
  <c r="D24" i="19"/>
  <c r="C24" i="19"/>
  <c r="B24" i="19"/>
  <c r="W23" i="19"/>
  <c r="D23" i="19"/>
  <c r="C23" i="19"/>
  <c r="B23" i="19"/>
  <c r="W22" i="19"/>
  <c r="G22" i="19"/>
  <c r="W24" i="19" s="1"/>
  <c r="Z21" i="19"/>
  <c r="AA21" i="19" s="1"/>
  <c r="W21" i="19"/>
  <c r="Z20" i="19"/>
  <c r="AA20" i="19" s="1"/>
  <c r="W20" i="19"/>
  <c r="AA19" i="19"/>
  <c r="Z19" i="19"/>
  <c r="W19" i="19"/>
  <c r="Z18" i="19"/>
  <c r="AA18" i="19" s="1"/>
  <c r="W18" i="19"/>
  <c r="Z17" i="19"/>
  <c r="AA17" i="19" s="1"/>
  <c r="W17" i="19"/>
  <c r="Z16" i="19"/>
  <c r="AA16" i="19" s="1"/>
  <c r="W16" i="19"/>
  <c r="Z15" i="19"/>
  <c r="AA15" i="19" s="1"/>
  <c r="W15" i="19"/>
  <c r="Z14" i="19"/>
  <c r="AG36" i="19" s="1"/>
  <c r="W14" i="19"/>
  <c r="AA13" i="19"/>
  <c r="AA14" i="19" s="1"/>
  <c r="Z13" i="19"/>
  <c r="W13" i="19"/>
  <c r="Z12" i="19"/>
  <c r="AA12" i="19" s="1"/>
  <c r="W12" i="19"/>
  <c r="Z11" i="19"/>
  <c r="AA11" i="19" s="1"/>
  <c r="W11" i="19"/>
  <c r="AA10" i="19"/>
  <c r="Z10" i="19"/>
  <c r="W10" i="19"/>
  <c r="Z9" i="19"/>
  <c r="AA9" i="19" s="1"/>
  <c r="W9" i="19"/>
  <c r="Z8" i="19"/>
  <c r="AA8" i="19" s="1"/>
  <c r="W8" i="19"/>
  <c r="Z7" i="19"/>
  <c r="AA7" i="19" s="1"/>
  <c r="W7" i="19"/>
  <c r="AA6" i="19"/>
  <c r="Z6" i="19"/>
  <c r="W6" i="19"/>
  <c r="Z5" i="19"/>
  <c r="AA5" i="19" s="1"/>
  <c r="W5" i="19"/>
  <c r="Z4" i="19"/>
  <c r="AA4" i="19" s="1"/>
  <c r="W4" i="19"/>
  <c r="V4" i="19" s="1"/>
  <c r="G24" i="18"/>
  <c r="G24" i="17"/>
  <c r="D28" i="18"/>
  <c r="C28" i="18"/>
  <c r="B28" i="18"/>
  <c r="D27" i="18"/>
  <c r="C27" i="18"/>
  <c r="B27" i="18"/>
  <c r="G26" i="18"/>
  <c r="D26" i="18"/>
  <c r="C26" i="18"/>
  <c r="B26" i="18"/>
  <c r="D25" i="18"/>
  <c r="C25" i="18"/>
  <c r="B25" i="18"/>
  <c r="D24" i="18"/>
  <c r="C24" i="18"/>
  <c r="B24" i="18"/>
  <c r="W23" i="18"/>
  <c r="D23" i="18"/>
  <c r="C23" i="18"/>
  <c r="B23" i="18"/>
  <c r="W22" i="18"/>
  <c r="G22" i="18"/>
  <c r="W24" i="18" s="1"/>
  <c r="Z21" i="18"/>
  <c r="AA21" i="18" s="1"/>
  <c r="W21" i="18"/>
  <c r="Z20" i="18"/>
  <c r="AA20" i="18" s="1"/>
  <c r="W20" i="18"/>
  <c r="Z19" i="18"/>
  <c r="AA19" i="18" s="1"/>
  <c r="W19" i="18"/>
  <c r="Z18" i="18"/>
  <c r="AA18" i="18" s="1"/>
  <c r="W18" i="18"/>
  <c r="AA17" i="18"/>
  <c r="Z17" i="18"/>
  <c r="W17" i="18"/>
  <c r="Z16" i="18"/>
  <c r="AA16" i="18" s="1"/>
  <c r="W16" i="18"/>
  <c r="Z15" i="18"/>
  <c r="AA15" i="18" s="1"/>
  <c r="W15" i="18"/>
  <c r="Z14" i="18"/>
  <c r="AG36" i="18" s="1"/>
  <c r="W14" i="18"/>
  <c r="Z13" i="18"/>
  <c r="AA13" i="18" s="1"/>
  <c r="AA14" i="18" s="1"/>
  <c r="W13" i="18"/>
  <c r="Z12" i="18"/>
  <c r="AA12" i="18" s="1"/>
  <c r="W12" i="18"/>
  <c r="Z11" i="18"/>
  <c r="AA11" i="18" s="1"/>
  <c r="W11" i="18"/>
  <c r="Z10" i="18"/>
  <c r="AA10" i="18" s="1"/>
  <c r="W10" i="18"/>
  <c r="AA9" i="18"/>
  <c r="Z9" i="18"/>
  <c r="W9" i="18"/>
  <c r="Z8" i="18"/>
  <c r="AA8" i="18" s="1"/>
  <c r="W8" i="18"/>
  <c r="AA7" i="18"/>
  <c r="Z7" i="18"/>
  <c r="W7" i="18"/>
  <c r="Z6" i="18"/>
  <c r="AA6" i="18" s="1"/>
  <c r="W6" i="18"/>
  <c r="Z5" i="18"/>
  <c r="AA5" i="18" s="1"/>
  <c r="W5" i="18"/>
  <c r="Z4" i="18"/>
  <c r="AA4" i="18" s="1"/>
  <c r="W4" i="18"/>
  <c r="V4" i="18" s="1"/>
  <c r="D28" i="17"/>
  <c r="C28" i="17"/>
  <c r="B28" i="17"/>
  <c r="D27" i="17"/>
  <c r="C27" i="17"/>
  <c r="B27" i="17"/>
  <c r="G26" i="17"/>
  <c r="D26" i="17"/>
  <c r="C26" i="17"/>
  <c r="B26" i="17"/>
  <c r="Z25" i="17"/>
  <c r="AG45" i="17" s="1"/>
  <c r="D25" i="17"/>
  <c r="C25" i="17"/>
  <c r="B25" i="17"/>
  <c r="D24" i="17"/>
  <c r="C24" i="17"/>
  <c r="B24" i="17"/>
  <c r="W23" i="17"/>
  <c r="D23" i="17"/>
  <c r="C23" i="17"/>
  <c r="B23" i="17"/>
  <c r="W22" i="17"/>
  <c r="G22" i="17"/>
  <c r="Z23" i="17" s="1"/>
  <c r="AA23" i="17" s="1"/>
  <c r="Z21" i="17"/>
  <c r="AA21" i="17" s="1"/>
  <c r="W21" i="17"/>
  <c r="AA20" i="17"/>
  <c r="Z20" i="17"/>
  <c r="W20" i="17"/>
  <c r="Z19" i="17"/>
  <c r="AA19" i="17" s="1"/>
  <c r="W19" i="17"/>
  <c r="Z18" i="17"/>
  <c r="AA18" i="17" s="1"/>
  <c r="W18" i="17"/>
  <c r="AA17" i="17"/>
  <c r="Z17" i="17"/>
  <c r="W17" i="17"/>
  <c r="Z16" i="17"/>
  <c r="AA16" i="17" s="1"/>
  <c r="W16" i="17"/>
  <c r="Z15" i="17"/>
  <c r="AA15" i="17" s="1"/>
  <c r="W15" i="17"/>
  <c r="W14" i="17"/>
  <c r="Z14" i="17"/>
  <c r="AG36" i="17" s="1"/>
  <c r="Z13" i="17"/>
  <c r="AA13" i="17" s="1"/>
  <c r="W13" i="17"/>
  <c r="AA12" i="17"/>
  <c r="Z12" i="17"/>
  <c r="W12" i="17"/>
  <c r="Z11" i="17"/>
  <c r="AA11" i="17" s="1"/>
  <c r="W11" i="17"/>
  <c r="Z10" i="17"/>
  <c r="AA10" i="17" s="1"/>
  <c r="W10" i="17"/>
  <c r="Z9" i="17"/>
  <c r="AA9" i="17" s="1"/>
  <c r="W9" i="17"/>
  <c r="AA8" i="17"/>
  <c r="Z8" i="17"/>
  <c r="W8" i="17"/>
  <c r="Z7" i="17"/>
  <c r="AA7" i="17" s="1"/>
  <c r="W7" i="17"/>
  <c r="Z6" i="17"/>
  <c r="AA6" i="17" s="1"/>
  <c r="W6" i="17"/>
  <c r="Z5" i="17"/>
  <c r="AA5" i="17" s="1"/>
  <c r="W5" i="17"/>
  <c r="AA4" i="17"/>
  <c r="Z4" i="17"/>
  <c r="W4" i="17"/>
  <c r="V4" i="17" s="1"/>
  <c r="U21" i="16"/>
  <c r="U22" i="16"/>
  <c r="U23" i="16"/>
  <c r="U24" i="16"/>
  <c r="U19" i="16"/>
  <c r="U18" i="16"/>
  <c r="U17" i="16"/>
  <c r="U16" i="16"/>
  <c r="U15" i="16"/>
  <c r="B22" i="16"/>
  <c r="B28" i="16"/>
  <c r="B27" i="16"/>
  <c r="B26" i="16"/>
  <c r="B25" i="16"/>
  <c r="B24" i="16"/>
  <c r="B23" i="16"/>
  <c r="U16" i="2"/>
  <c r="V5" i="21" l="1"/>
  <c r="AA14" i="21"/>
  <c r="AG37" i="21"/>
  <c r="Z20" i="21"/>
  <c r="AA20" i="21" s="1"/>
  <c r="Z23" i="21"/>
  <c r="AA23" i="21" s="1"/>
  <c r="Z25" i="21"/>
  <c r="AG45" i="21" s="1"/>
  <c r="W22" i="21"/>
  <c r="Z24" i="21"/>
  <c r="AA24" i="21" s="1"/>
  <c r="W23" i="21"/>
  <c r="X4" i="21"/>
  <c r="Z22" i="21"/>
  <c r="AA22" i="21" s="1"/>
  <c r="V5" i="20"/>
  <c r="AG37" i="20"/>
  <c r="AA14" i="20"/>
  <c r="Z23" i="20"/>
  <c r="AA23" i="20" s="1"/>
  <c r="Z25" i="20"/>
  <c r="AG45" i="20" s="1"/>
  <c r="Z24" i="20"/>
  <c r="AA24" i="20" s="1"/>
  <c r="G25" i="20"/>
  <c r="Z22" i="20"/>
  <c r="AA22" i="20" s="1"/>
  <c r="V5" i="19"/>
  <c r="AG37" i="19"/>
  <c r="Z23" i="19"/>
  <c r="AA23" i="19" s="1"/>
  <c r="Z25" i="19"/>
  <c r="AG45" i="19" s="1"/>
  <c r="Z24" i="19"/>
  <c r="AA24" i="19" s="1"/>
  <c r="G25" i="19"/>
  <c r="Z22" i="19"/>
  <c r="AA22" i="19" s="1"/>
  <c r="V5" i="18"/>
  <c r="AG37" i="18"/>
  <c r="Z23" i="18"/>
  <c r="AA23" i="18" s="1"/>
  <c r="Z25" i="18"/>
  <c r="AG45" i="18" s="1"/>
  <c r="Z24" i="18"/>
  <c r="AA24" i="18" s="1"/>
  <c r="G25" i="18"/>
  <c r="Z22" i="18"/>
  <c r="AA22" i="18" s="1"/>
  <c r="AA14" i="17"/>
  <c r="AG46" i="17"/>
  <c r="V5" i="17"/>
  <c r="AG37" i="17"/>
  <c r="Z24" i="17"/>
  <c r="AA24" i="17" s="1"/>
  <c r="G25" i="17"/>
  <c r="Z22" i="17"/>
  <c r="AA22" i="17" s="1"/>
  <c r="W24" i="17"/>
  <c r="C22" i="16"/>
  <c r="U25" i="13"/>
  <c r="U14" i="13"/>
  <c r="B28" i="13"/>
  <c r="B27" i="13"/>
  <c r="B26" i="13"/>
  <c r="B25" i="13"/>
  <c r="B24" i="13"/>
  <c r="B23" i="13"/>
  <c r="G23" i="13" s="1"/>
  <c r="AD4" i="21" l="1"/>
  <c r="AC4" i="21"/>
  <c r="AB4" i="21"/>
  <c r="AE4" i="21"/>
  <c r="X25" i="21"/>
  <c r="V14" i="21"/>
  <c r="X14" i="21" s="1"/>
  <c r="V15" i="21"/>
  <c r="X5" i="21"/>
  <c r="V6" i="21"/>
  <c r="AG46" i="21"/>
  <c r="AA25" i="21"/>
  <c r="AE14" i="21"/>
  <c r="AD14" i="21"/>
  <c r="AC14" i="21"/>
  <c r="AB14" i="21"/>
  <c r="X25" i="20"/>
  <c r="V14" i="20"/>
  <c r="X14" i="20" s="1"/>
  <c r="AE14" i="20" s="1"/>
  <c r="V15" i="20"/>
  <c r="AC14" i="20"/>
  <c r="X5" i="20"/>
  <c r="V6" i="20"/>
  <c r="AG46" i="20"/>
  <c r="AA25" i="20"/>
  <c r="X4" i="20"/>
  <c r="X25" i="19"/>
  <c r="V14" i="19"/>
  <c r="X14" i="19" s="1"/>
  <c r="V15" i="19"/>
  <c r="AA25" i="19"/>
  <c r="AG46" i="19"/>
  <c r="V6" i="19"/>
  <c r="X5" i="19"/>
  <c r="X4" i="19"/>
  <c r="X25" i="18"/>
  <c r="V14" i="18"/>
  <c r="X14" i="18" s="1"/>
  <c r="V15" i="18"/>
  <c r="X5" i="18"/>
  <c r="V6" i="18"/>
  <c r="X4" i="18"/>
  <c r="AA25" i="18"/>
  <c r="AG46" i="18"/>
  <c r="X25" i="17"/>
  <c r="V15" i="17"/>
  <c r="V14" i="17"/>
  <c r="X14" i="17" s="1"/>
  <c r="AE14" i="17" s="1"/>
  <c r="V6" i="17"/>
  <c r="X5" i="17"/>
  <c r="AA25" i="17"/>
  <c r="X4" i="17"/>
  <c r="C18" i="1"/>
  <c r="S4" i="21" l="1"/>
  <c r="S14" i="21"/>
  <c r="R14" i="21"/>
  <c r="X6" i="21"/>
  <c r="V7" i="21"/>
  <c r="AC25" i="21"/>
  <c r="AB25" i="21"/>
  <c r="AE25" i="21"/>
  <c r="AD25" i="21"/>
  <c r="AE5" i="21"/>
  <c r="AC5" i="21"/>
  <c r="AD5" i="21"/>
  <c r="AB5" i="21"/>
  <c r="R4" i="21"/>
  <c r="X15" i="21"/>
  <c r="V16" i="21"/>
  <c r="AB14" i="20"/>
  <c r="AC25" i="20"/>
  <c r="AB25" i="20"/>
  <c r="AE25" i="20"/>
  <c r="S25" i="20" s="1"/>
  <c r="AD25" i="20"/>
  <c r="AB5" i="20"/>
  <c r="AD5" i="20"/>
  <c r="AE5" i="20"/>
  <c r="S5" i="20" s="1"/>
  <c r="AC5" i="20"/>
  <c r="X15" i="20"/>
  <c r="V16" i="20"/>
  <c r="S14" i="20"/>
  <c r="R14" i="20"/>
  <c r="AB4" i="20"/>
  <c r="AE4" i="20"/>
  <c r="AD4" i="20"/>
  <c r="AC4" i="20"/>
  <c r="X6" i="20"/>
  <c r="V7" i="20"/>
  <c r="AD14" i="20"/>
  <c r="AC5" i="19"/>
  <c r="AB5" i="19"/>
  <c r="AE5" i="19"/>
  <c r="AD5" i="19"/>
  <c r="AC25" i="19"/>
  <c r="AB25" i="19"/>
  <c r="AE25" i="19"/>
  <c r="AD25" i="19"/>
  <c r="X6" i="19"/>
  <c r="V7" i="19"/>
  <c r="X15" i="19"/>
  <c r="V16" i="19"/>
  <c r="AC14" i="19"/>
  <c r="AB14" i="19"/>
  <c r="AE14" i="19"/>
  <c r="AD14" i="19"/>
  <c r="AC4" i="19"/>
  <c r="AB4" i="19"/>
  <c r="AE4" i="19"/>
  <c r="AD4" i="19"/>
  <c r="S25" i="19"/>
  <c r="R25" i="19"/>
  <c r="AD5" i="18"/>
  <c r="AC5" i="18"/>
  <c r="AE5" i="18"/>
  <c r="AB5" i="18"/>
  <c r="AC25" i="18"/>
  <c r="AB25" i="18"/>
  <c r="AE25" i="18"/>
  <c r="AD25" i="18"/>
  <c r="X15" i="18"/>
  <c r="V16" i="18"/>
  <c r="AC4" i="18"/>
  <c r="AB4" i="18"/>
  <c r="AE4" i="18"/>
  <c r="AD4" i="18"/>
  <c r="AB14" i="18"/>
  <c r="AE14" i="18"/>
  <c r="AD14" i="18"/>
  <c r="AC14" i="18"/>
  <c r="X6" i="18"/>
  <c r="V7" i="18"/>
  <c r="AD14" i="17"/>
  <c r="V7" i="17"/>
  <c r="X6" i="17"/>
  <c r="X15" i="17"/>
  <c r="V16" i="17"/>
  <c r="AE4" i="17"/>
  <c r="AD4" i="17"/>
  <c r="AB4" i="17"/>
  <c r="S4" i="17" s="1"/>
  <c r="AC4" i="17"/>
  <c r="AC25" i="17"/>
  <c r="AB25" i="17"/>
  <c r="AE25" i="17"/>
  <c r="R25" i="17" s="1"/>
  <c r="AD25" i="17"/>
  <c r="AB14" i="17"/>
  <c r="S14" i="17" s="1"/>
  <c r="AC14" i="17"/>
  <c r="AB5" i="17"/>
  <c r="AE5" i="17"/>
  <c r="AD5" i="17"/>
  <c r="AC5" i="17"/>
  <c r="C21" i="1"/>
  <c r="S25" i="21" l="1"/>
  <c r="AA47" i="21" s="1"/>
  <c r="S5" i="21"/>
  <c r="R5" i="21"/>
  <c r="X7" i="21"/>
  <c r="V8" i="21"/>
  <c r="X16" i="21"/>
  <c r="V17" i="21"/>
  <c r="AD6" i="21"/>
  <c r="AC6" i="21"/>
  <c r="AB6" i="21"/>
  <c r="AE6" i="21"/>
  <c r="AE15" i="21"/>
  <c r="S15" i="21" s="1"/>
  <c r="AD15" i="21"/>
  <c r="AC15" i="21"/>
  <c r="AB15" i="21"/>
  <c r="R25" i="21"/>
  <c r="X44" i="21"/>
  <c r="X42" i="21"/>
  <c r="X43" i="21"/>
  <c r="X40" i="21"/>
  <c r="X41" i="21"/>
  <c r="X37" i="21"/>
  <c r="X38" i="21"/>
  <c r="X39" i="21"/>
  <c r="X36" i="21"/>
  <c r="Q4" i="21"/>
  <c r="P4" i="21"/>
  <c r="AA44" i="21"/>
  <c r="AA42" i="21"/>
  <c r="AA40" i="21"/>
  <c r="AA38" i="21"/>
  <c r="AA43" i="21"/>
  <c r="AA41" i="21"/>
  <c r="AA39" i="21"/>
  <c r="AA36" i="21"/>
  <c r="AA37" i="21"/>
  <c r="S4" i="20"/>
  <c r="R25" i="20"/>
  <c r="R5" i="20"/>
  <c r="P5" i="20" s="1"/>
  <c r="Q5" i="20"/>
  <c r="AA53" i="20"/>
  <c r="AA51" i="20"/>
  <c r="AA49" i="20"/>
  <c r="AA47" i="20"/>
  <c r="AA52" i="20"/>
  <c r="AA50" i="20"/>
  <c r="AA48" i="20"/>
  <c r="AA45" i="20"/>
  <c r="AA46" i="20"/>
  <c r="R4" i="20"/>
  <c r="X16" i="20"/>
  <c r="V17" i="20"/>
  <c r="AC15" i="20"/>
  <c r="AE15" i="20"/>
  <c r="AD15" i="20"/>
  <c r="AB15" i="20"/>
  <c r="V8" i="20"/>
  <c r="X7" i="20"/>
  <c r="X37" i="20"/>
  <c r="X38" i="20"/>
  <c r="X39" i="20"/>
  <c r="X36" i="20"/>
  <c r="X44" i="20"/>
  <c r="X42" i="20"/>
  <c r="X43" i="20"/>
  <c r="X40" i="20"/>
  <c r="X41" i="20"/>
  <c r="X49" i="20"/>
  <c r="X50" i="20"/>
  <c r="X48" i="20"/>
  <c r="X45" i="20"/>
  <c r="X46" i="20"/>
  <c r="X47" i="20"/>
  <c r="X53" i="20"/>
  <c r="X51" i="20"/>
  <c r="X52" i="20"/>
  <c r="AB6" i="20"/>
  <c r="AC6" i="20"/>
  <c r="AE6" i="20"/>
  <c r="R6" i="20" s="1"/>
  <c r="AD6" i="20"/>
  <c r="AA44" i="20"/>
  <c r="AA42" i="20"/>
  <c r="AA40" i="20"/>
  <c r="AA38" i="20"/>
  <c r="AA43" i="20"/>
  <c r="AA41" i="20"/>
  <c r="AA39" i="20"/>
  <c r="AA36" i="20"/>
  <c r="AA37" i="20"/>
  <c r="R4" i="19"/>
  <c r="S14" i="19"/>
  <c r="AA44" i="19" s="1"/>
  <c r="S5" i="19"/>
  <c r="S4" i="19"/>
  <c r="AA42" i="19"/>
  <c r="AA38" i="19"/>
  <c r="AA41" i="19"/>
  <c r="AA36" i="19"/>
  <c r="Q4" i="19"/>
  <c r="P4" i="19"/>
  <c r="X46" i="19"/>
  <c r="X47" i="19"/>
  <c r="X48" i="19"/>
  <c r="X53" i="19"/>
  <c r="X51" i="19"/>
  <c r="X52" i="19"/>
  <c r="X49" i="19"/>
  <c r="X50" i="19"/>
  <c r="X45" i="19"/>
  <c r="R14" i="19"/>
  <c r="X7" i="19"/>
  <c r="V8" i="19"/>
  <c r="AA53" i="19"/>
  <c r="AA51" i="19"/>
  <c r="AA49" i="19"/>
  <c r="AA47" i="19"/>
  <c r="AA52" i="19"/>
  <c r="AA50" i="19"/>
  <c r="AA48" i="19"/>
  <c r="AA45" i="19"/>
  <c r="AA46" i="19"/>
  <c r="AB6" i="19"/>
  <c r="AE6" i="19"/>
  <c r="S6" i="19" s="1"/>
  <c r="AD6" i="19"/>
  <c r="AC6" i="19"/>
  <c r="X16" i="19"/>
  <c r="V17" i="19"/>
  <c r="R5" i="19"/>
  <c r="AD15" i="19"/>
  <c r="AC15" i="19"/>
  <c r="AB15" i="19"/>
  <c r="AE15" i="19"/>
  <c r="S14" i="18"/>
  <c r="R25" i="18"/>
  <c r="R5" i="18"/>
  <c r="R4" i="18"/>
  <c r="P4" i="18" s="1"/>
  <c r="S25" i="18"/>
  <c r="R14" i="18"/>
  <c r="X41" i="18" s="1"/>
  <c r="S5" i="18"/>
  <c r="X40" i="18"/>
  <c r="X36" i="18"/>
  <c r="X38" i="18"/>
  <c r="X44" i="18"/>
  <c r="X42" i="18"/>
  <c r="X43" i="18"/>
  <c r="AA44" i="18"/>
  <c r="AA42" i="18"/>
  <c r="AA40" i="18"/>
  <c r="AA38" i="18"/>
  <c r="AA43" i="18"/>
  <c r="AA41" i="18"/>
  <c r="AA39" i="18"/>
  <c r="AA36" i="18"/>
  <c r="AA37" i="18"/>
  <c r="X53" i="18"/>
  <c r="X45" i="18"/>
  <c r="X51" i="18"/>
  <c r="X52" i="18"/>
  <c r="X50" i="18"/>
  <c r="X49" i="18"/>
  <c r="X46" i="18"/>
  <c r="X47" i="18"/>
  <c r="X48" i="18"/>
  <c r="Q5" i="18"/>
  <c r="P5" i="18"/>
  <c r="AC6" i="18"/>
  <c r="AB6" i="18"/>
  <c r="S6" i="18" s="1"/>
  <c r="AE6" i="18"/>
  <c r="AD6" i="18"/>
  <c r="S4" i="18"/>
  <c r="X16" i="18"/>
  <c r="V17" i="18"/>
  <c r="AA53" i="18"/>
  <c r="AA51" i="18"/>
  <c r="AA49" i="18"/>
  <c r="AA47" i="18"/>
  <c r="AA52" i="18"/>
  <c r="AA50" i="18"/>
  <c r="AA48" i="18"/>
  <c r="AA45" i="18"/>
  <c r="AA46" i="18"/>
  <c r="AD15" i="18"/>
  <c r="AB15" i="18"/>
  <c r="AC15" i="18"/>
  <c r="AE15" i="18"/>
  <c r="V8" i="18"/>
  <c r="X7" i="18"/>
  <c r="S25" i="17"/>
  <c r="R4" i="17"/>
  <c r="Q4" i="17" s="1"/>
  <c r="S5" i="17"/>
  <c r="P4" i="17"/>
  <c r="AA44" i="17"/>
  <c r="AA42" i="17"/>
  <c r="AA40" i="17"/>
  <c r="AA38" i="17"/>
  <c r="AA43" i="17"/>
  <c r="AA41" i="17"/>
  <c r="AA39" i="17"/>
  <c r="AA36" i="17"/>
  <c r="AA37" i="17"/>
  <c r="R5" i="17"/>
  <c r="R14" i="17"/>
  <c r="X53" i="17"/>
  <c r="X51" i="17"/>
  <c r="X52" i="17"/>
  <c r="X49" i="17"/>
  <c r="X50" i="17"/>
  <c r="X46" i="17"/>
  <c r="X47" i="17"/>
  <c r="X48" i="17"/>
  <c r="X45" i="17"/>
  <c r="X16" i="17"/>
  <c r="V17" i="17"/>
  <c r="AB6" i="17"/>
  <c r="AE6" i="17"/>
  <c r="S6" i="17" s="1"/>
  <c r="AD6" i="17"/>
  <c r="AC6" i="17"/>
  <c r="AA53" i="17"/>
  <c r="AA51" i="17"/>
  <c r="AA49" i="17"/>
  <c r="AA47" i="17"/>
  <c r="AA52" i="17"/>
  <c r="AA50" i="17"/>
  <c r="AA48" i="17"/>
  <c r="AA45" i="17"/>
  <c r="AA46" i="17"/>
  <c r="AC15" i="17"/>
  <c r="AB15" i="17"/>
  <c r="AE15" i="17"/>
  <c r="AD15" i="17"/>
  <c r="X7" i="17"/>
  <c r="V8" i="17"/>
  <c r="AH7" i="2"/>
  <c r="AH8" i="2"/>
  <c r="AH9" i="2"/>
  <c r="AH10" i="2"/>
  <c r="AH11" i="2"/>
  <c r="AH12" i="2"/>
  <c r="AG8" i="2"/>
  <c r="P8" i="2" s="1"/>
  <c r="AG9" i="2"/>
  <c r="P9" i="2" s="1"/>
  <c r="AG10" i="2"/>
  <c r="P10" i="2" s="1"/>
  <c r="AG11" i="2"/>
  <c r="P11" i="2" s="1"/>
  <c r="AG12" i="2"/>
  <c r="P12" i="2" s="1"/>
  <c r="AG7" i="2"/>
  <c r="P7" i="2" s="1"/>
  <c r="AG6" i="2"/>
  <c r="P6" i="2" s="1"/>
  <c r="AH6" i="2"/>
  <c r="O12" i="2"/>
  <c r="AK5" i="1"/>
  <c r="AK6" i="1"/>
  <c r="AK7" i="1"/>
  <c r="AK8" i="1"/>
  <c r="AK9" i="1"/>
  <c r="AK10" i="1"/>
  <c r="AK4" i="1"/>
  <c r="AA48" i="21" l="1"/>
  <c r="AC48" i="21" s="1"/>
  <c r="AA49" i="21"/>
  <c r="R15" i="21"/>
  <c r="P15" i="21" s="1"/>
  <c r="S6" i="21"/>
  <c r="AA50" i="21"/>
  <c r="AE50" i="21" s="1"/>
  <c r="AA51" i="21"/>
  <c r="AA53" i="21"/>
  <c r="AA46" i="21"/>
  <c r="AA52" i="21"/>
  <c r="AC52" i="21" s="1"/>
  <c r="AA45" i="21"/>
  <c r="Q15" i="21"/>
  <c r="AC41" i="21"/>
  <c r="AB41" i="21"/>
  <c r="AE41" i="21"/>
  <c r="AD41" i="21"/>
  <c r="AE42" i="21"/>
  <c r="R42" i="21" s="1"/>
  <c r="AD42" i="21"/>
  <c r="AC42" i="21"/>
  <c r="AB42" i="21"/>
  <c r="R41" i="21"/>
  <c r="R6" i="21"/>
  <c r="V9" i="21"/>
  <c r="X8" i="21"/>
  <c r="AD37" i="21"/>
  <c r="AC37" i="21"/>
  <c r="AB37" i="21"/>
  <c r="R37" i="21" s="1"/>
  <c r="AE37" i="21"/>
  <c r="AC43" i="21"/>
  <c r="AB43" i="21"/>
  <c r="AE43" i="21"/>
  <c r="S43" i="21" s="1"/>
  <c r="AD43" i="21"/>
  <c r="AE44" i="21"/>
  <c r="S44" i="21" s="1"/>
  <c r="AD44" i="21"/>
  <c r="AC44" i="21"/>
  <c r="AB44" i="21"/>
  <c r="X53" i="21"/>
  <c r="AE53" i="21" s="1"/>
  <c r="X45" i="21"/>
  <c r="AE45" i="21" s="1"/>
  <c r="X51" i="21"/>
  <c r="AD51" i="21" s="1"/>
  <c r="X52" i="21"/>
  <c r="X49" i="21"/>
  <c r="AE49" i="21" s="1"/>
  <c r="X50" i="21"/>
  <c r="X46" i="21"/>
  <c r="AD46" i="21" s="1"/>
  <c r="X47" i="21"/>
  <c r="AE47" i="21" s="1"/>
  <c r="X48" i="21"/>
  <c r="AC7" i="21"/>
  <c r="AD7" i="21"/>
  <c r="AE7" i="21"/>
  <c r="AB7" i="21"/>
  <c r="AB48" i="21"/>
  <c r="AD48" i="21"/>
  <c r="AD49" i="21"/>
  <c r="AB49" i="21"/>
  <c r="AC36" i="21"/>
  <c r="AB36" i="21"/>
  <c r="AE36" i="21"/>
  <c r="AD36" i="21"/>
  <c r="AE38" i="21"/>
  <c r="AD38" i="21"/>
  <c r="AC38" i="21"/>
  <c r="AB38" i="21"/>
  <c r="S38" i="21" s="1"/>
  <c r="R43" i="21"/>
  <c r="V18" i="21"/>
  <c r="X17" i="21"/>
  <c r="P5" i="21"/>
  <c r="Q5" i="21"/>
  <c r="AE51" i="21"/>
  <c r="AC51" i="21"/>
  <c r="AC39" i="21"/>
  <c r="AB39" i="21"/>
  <c r="AE39" i="21"/>
  <c r="AD39" i="21"/>
  <c r="AE40" i="21"/>
  <c r="AD40" i="21"/>
  <c r="AC40" i="21"/>
  <c r="AB40" i="21"/>
  <c r="S37" i="21"/>
  <c r="S42" i="21"/>
  <c r="AC16" i="21"/>
  <c r="AB16" i="21"/>
  <c r="AD16" i="21"/>
  <c r="AE16" i="21"/>
  <c r="R16" i="21" s="1"/>
  <c r="AC46" i="21"/>
  <c r="AE46" i="21"/>
  <c r="AB52" i="21"/>
  <c r="AD52" i="21"/>
  <c r="AD53" i="21"/>
  <c r="AB53" i="21"/>
  <c r="S15" i="20"/>
  <c r="Q6" i="20"/>
  <c r="P6" i="20"/>
  <c r="AC41" i="20"/>
  <c r="AB41" i="20"/>
  <c r="AE41" i="20"/>
  <c r="AD41" i="20"/>
  <c r="AE42" i="20"/>
  <c r="R42" i="20" s="1"/>
  <c r="AD42" i="20"/>
  <c r="AC42" i="20"/>
  <c r="AB42" i="20"/>
  <c r="R15" i="20"/>
  <c r="P4" i="20"/>
  <c r="Q4" i="20"/>
  <c r="AC50" i="20"/>
  <c r="AB50" i="20"/>
  <c r="S50" i="20" s="1"/>
  <c r="AE50" i="20"/>
  <c r="AD50" i="20"/>
  <c r="AE51" i="20"/>
  <c r="AD51" i="20"/>
  <c r="AC51" i="20"/>
  <c r="AB51" i="20"/>
  <c r="S51" i="20" s="1"/>
  <c r="AD37" i="20"/>
  <c r="AC37" i="20"/>
  <c r="AB37" i="20"/>
  <c r="AE37" i="20"/>
  <c r="S37" i="20" s="1"/>
  <c r="AC43" i="20"/>
  <c r="AB43" i="20"/>
  <c r="R43" i="20" s="1"/>
  <c r="AE43" i="20"/>
  <c r="AD43" i="20"/>
  <c r="AE44" i="20"/>
  <c r="AD44" i="20"/>
  <c r="AC44" i="20"/>
  <c r="AB44" i="20"/>
  <c r="S44" i="20" s="1"/>
  <c r="S41" i="20"/>
  <c r="R41" i="20"/>
  <c r="AD46" i="20"/>
  <c r="AC46" i="20"/>
  <c r="AB46" i="20"/>
  <c r="AE46" i="20"/>
  <c r="AC52" i="20"/>
  <c r="AB52" i="20"/>
  <c r="AE52" i="20"/>
  <c r="S52" i="20" s="1"/>
  <c r="AD52" i="20"/>
  <c r="AE53" i="20"/>
  <c r="S53" i="20" s="1"/>
  <c r="AD53" i="20"/>
  <c r="AC53" i="20"/>
  <c r="AB53" i="20"/>
  <c r="AC36" i="20"/>
  <c r="AB36" i="20"/>
  <c r="AE36" i="20"/>
  <c r="S36" i="20" s="1"/>
  <c r="AD36" i="20"/>
  <c r="AE38" i="20"/>
  <c r="S38" i="20" s="1"/>
  <c r="AD38" i="20"/>
  <c r="AC38" i="20"/>
  <c r="AB38" i="20"/>
  <c r="S6" i="20"/>
  <c r="AC7" i="20"/>
  <c r="AB7" i="20"/>
  <c r="AE7" i="20"/>
  <c r="AD7" i="20"/>
  <c r="V18" i="20"/>
  <c r="X17" i="20"/>
  <c r="AC45" i="20"/>
  <c r="AB45" i="20"/>
  <c r="AE45" i="20"/>
  <c r="AD45" i="20"/>
  <c r="AE47" i="20"/>
  <c r="AD47" i="20"/>
  <c r="AC47" i="20"/>
  <c r="AB47" i="20"/>
  <c r="AC39" i="20"/>
  <c r="AB39" i="20"/>
  <c r="AE39" i="20"/>
  <c r="S39" i="20" s="1"/>
  <c r="AD39" i="20"/>
  <c r="AE40" i="20"/>
  <c r="AD40" i="20"/>
  <c r="AC40" i="20"/>
  <c r="AB40" i="20"/>
  <c r="S43" i="20"/>
  <c r="X8" i="20"/>
  <c r="V9" i="20"/>
  <c r="AB16" i="20"/>
  <c r="AC16" i="20"/>
  <c r="AD16" i="20"/>
  <c r="AE16" i="20"/>
  <c r="S16" i="20" s="1"/>
  <c r="AC48" i="20"/>
  <c r="AB48" i="20"/>
  <c r="AE48" i="20"/>
  <c r="AD48" i="20"/>
  <c r="AE49" i="20"/>
  <c r="AD49" i="20"/>
  <c r="AC49" i="20"/>
  <c r="AB49" i="20"/>
  <c r="AA39" i="19"/>
  <c r="AA40" i="19"/>
  <c r="AA37" i="19"/>
  <c r="AA43" i="19"/>
  <c r="AB43" i="19" s="1"/>
  <c r="R6" i="19"/>
  <c r="P6" i="19" s="1"/>
  <c r="S15" i="19"/>
  <c r="Q6" i="19"/>
  <c r="V18" i="19"/>
  <c r="X17" i="19"/>
  <c r="AD46" i="19"/>
  <c r="AC46" i="19"/>
  <c r="AB46" i="19"/>
  <c r="R46" i="19" s="1"/>
  <c r="AE46" i="19"/>
  <c r="AC52" i="19"/>
  <c r="AB52" i="19"/>
  <c r="AE52" i="19"/>
  <c r="AD52" i="19"/>
  <c r="AE53" i="19"/>
  <c r="AD53" i="19"/>
  <c r="AC53" i="19"/>
  <c r="AB53" i="19"/>
  <c r="R15" i="19"/>
  <c r="AC16" i="19"/>
  <c r="AD16" i="19"/>
  <c r="AB16" i="19"/>
  <c r="AE16" i="19"/>
  <c r="AC45" i="19"/>
  <c r="AB45" i="19"/>
  <c r="AE45" i="19"/>
  <c r="AD45" i="19"/>
  <c r="AE47" i="19"/>
  <c r="R47" i="19" s="1"/>
  <c r="AD47" i="19"/>
  <c r="AC47" i="19"/>
  <c r="AB47" i="19"/>
  <c r="X8" i="19"/>
  <c r="V9" i="19"/>
  <c r="S53" i="19"/>
  <c r="R53" i="19"/>
  <c r="AC48" i="19"/>
  <c r="AB48" i="19"/>
  <c r="AE48" i="19"/>
  <c r="AD48" i="19"/>
  <c r="AE49" i="19"/>
  <c r="S49" i="19" s="1"/>
  <c r="AD49" i="19"/>
  <c r="AC49" i="19"/>
  <c r="AB49" i="19"/>
  <c r="AD7" i="19"/>
  <c r="AB7" i="19"/>
  <c r="R7" i="19" s="1"/>
  <c r="AE7" i="19"/>
  <c r="AC7" i="19"/>
  <c r="R49" i="19"/>
  <c r="Q5" i="19"/>
  <c r="P5" i="19"/>
  <c r="AC50" i="19"/>
  <c r="AB50" i="19"/>
  <c r="AE50" i="19"/>
  <c r="AD50" i="19"/>
  <c r="AE51" i="19"/>
  <c r="AD51" i="19"/>
  <c r="AC51" i="19"/>
  <c r="AB51" i="19"/>
  <c r="X44" i="19"/>
  <c r="X42" i="19"/>
  <c r="AE42" i="19" s="1"/>
  <c r="X43" i="19"/>
  <c r="X40" i="19"/>
  <c r="AE40" i="19" s="1"/>
  <c r="X41" i="19"/>
  <c r="X37" i="19"/>
  <c r="AE37" i="19" s="1"/>
  <c r="X38" i="19"/>
  <c r="AE38" i="19" s="1"/>
  <c r="X39" i="19"/>
  <c r="AC39" i="19" s="1"/>
  <c r="X36" i="19"/>
  <c r="S47" i="19"/>
  <c r="AC43" i="19"/>
  <c r="AE44" i="19"/>
  <c r="AD44" i="19"/>
  <c r="AC44" i="19"/>
  <c r="AB44" i="19"/>
  <c r="X37" i="18"/>
  <c r="Q4" i="18"/>
  <c r="X39" i="18"/>
  <c r="S15" i="18"/>
  <c r="R6" i="18"/>
  <c r="P6" i="18" s="1"/>
  <c r="Q6" i="18"/>
  <c r="AC7" i="18"/>
  <c r="AD7" i="18"/>
  <c r="AE7" i="18"/>
  <c r="AB7" i="18"/>
  <c r="AD46" i="18"/>
  <c r="AC46" i="18"/>
  <c r="AB46" i="18"/>
  <c r="AE46" i="18"/>
  <c r="AC52" i="18"/>
  <c r="AB52" i="18"/>
  <c r="S52" i="18" s="1"/>
  <c r="AE52" i="18"/>
  <c r="AD52" i="18"/>
  <c r="X8" i="18"/>
  <c r="V9" i="18"/>
  <c r="AC45" i="18"/>
  <c r="AB45" i="18"/>
  <c r="S45" i="18" s="1"/>
  <c r="AE45" i="18"/>
  <c r="AD45" i="18"/>
  <c r="AE47" i="18"/>
  <c r="AD47" i="18"/>
  <c r="AC47" i="18"/>
  <c r="AB47" i="18"/>
  <c r="S47" i="18" s="1"/>
  <c r="V18" i="18"/>
  <c r="X17" i="18"/>
  <c r="AC39" i="18"/>
  <c r="AB39" i="18"/>
  <c r="R39" i="18" s="1"/>
  <c r="AE39" i="18"/>
  <c r="AD39" i="18"/>
  <c r="AE40" i="18"/>
  <c r="AD40" i="18"/>
  <c r="AC40" i="18"/>
  <c r="AB40" i="18"/>
  <c r="AE49" i="18"/>
  <c r="AD49" i="18"/>
  <c r="AC49" i="18"/>
  <c r="AB49" i="18"/>
  <c r="AC41" i="18"/>
  <c r="AB41" i="18"/>
  <c r="AE41" i="18"/>
  <c r="AD41" i="18"/>
  <c r="AE42" i="18"/>
  <c r="AD42" i="18"/>
  <c r="AC42" i="18"/>
  <c r="AB42" i="18"/>
  <c r="R15" i="18"/>
  <c r="AC48" i="18"/>
  <c r="AB48" i="18"/>
  <c r="AE48" i="18"/>
  <c r="AD48" i="18"/>
  <c r="AB16" i="18"/>
  <c r="AE16" i="18"/>
  <c r="AD16" i="18"/>
  <c r="AC16" i="18"/>
  <c r="AC50" i="18"/>
  <c r="AB50" i="18"/>
  <c r="AE50" i="18"/>
  <c r="AD50" i="18"/>
  <c r="AE51" i="18"/>
  <c r="R51" i="18" s="1"/>
  <c r="AD51" i="18"/>
  <c r="AC51" i="18"/>
  <c r="AB51" i="18"/>
  <c r="R47" i="18"/>
  <c r="AD37" i="18"/>
  <c r="AC37" i="18"/>
  <c r="AB37" i="18"/>
  <c r="AE37" i="18"/>
  <c r="AC43" i="18"/>
  <c r="AB43" i="18"/>
  <c r="AE43" i="18"/>
  <c r="AD43" i="18"/>
  <c r="AE44" i="18"/>
  <c r="AD44" i="18"/>
  <c r="AC44" i="18"/>
  <c r="AB44" i="18"/>
  <c r="AE53" i="18"/>
  <c r="AD53" i="18"/>
  <c r="AC53" i="18"/>
  <c r="AB53" i="18"/>
  <c r="S46" i="18"/>
  <c r="R46" i="18"/>
  <c r="AC36" i="18"/>
  <c r="AB36" i="18"/>
  <c r="AE36" i="18"/>
  <c r="AD36" i="18"/>
  <c r="AE38" i="18"/>
  <c r="AD38" i="18"/>
  <c r="AC38" i="18"/>
  <c r="AB38" i="18"/>
  <c r="S40" i="18"/>
  <c r="R40" i="18"/>
  <c r="R15" i="17"/>
  <c r="P15" i="17" s="1"/>
  <c r="S15" i="17"/>
  <c r="AC50" i="17"/>
  <c r="AB50" i="17"/>
  <c r="S50" i="17" s="1"/>
  <c r="AE50" i="17"/>
  <c r="AD50" i="17"/>
  <c r="AE51" i="17"/>
  <c r="AD51" i="17"/>
  <c r="AC51" i="17"/>
  <c r="AB51" i="17"/>
  <c r="R51" i="17" s="1"/>
  <c r="X17" i="17"/>
  <c r="V18" i="17"/>
  <c r="Q5" i="17"/>
  <c r="P5" i="17"/>
  <c r="X8" i="17"/>
  <c r="V9" i="17"/>
  <c r="AD46" i="17"/>
  <c r="AC46" i="17"/>
  <c r="AB46" i="17"/>
  <c r="AE46" i="17"/>
  <c r="AC52" i="17"/>
  <c r="AB52" i="17"/>
  <c r="AE52" i="17"/>
  <c r="AD52" i="17"/>
  <c r="AE53" i="17"/>
  <c r="AD53" i="17"/>
  <c r="AC53" i="17"/>
  <c r="AB53" i="17"/>
  <c r="S53" i="17" s="1"/>
  <c r="AE16" i="17"/>
  <c r="AD16" i="17"/>
  <c r="AC16" i="17"/>
  <c r="AB16" i="17"/>
  <c r="S16" i="17" s="1"/>
  <c r="AB7" i="17"/>
  <c r="AC7" i="17"/>
  <c r="AE7" i="17"/>
  <c r="AD7" i="17"/>
  <c r="AC45" i="17"/>
  <c r="AB45" i="17"/>
  <c r="R45" i="17" s="1"/>
  <c r="AE45" i="17"/>
  <c r="AD45" i="17"/>
  <c r="AE47" i="17"/>
  <c r="AD47" i="17"/>
  <c r="AC47" i="17"/>
  <c r="AB47" i="17"/>
  <c r="R6" i="17"/>
  <c r="S45" i="17"/>
  <c r="AC48" i="17"/>
  <c r="AB48" i="17"/>
  <c r="AE48" i="17"/>
  <c r="AD48" i="17"/>
  <c r="AE49" i="17"/>
  <c r="AD49" i="17"/>
  <c r="AC49" i="17"/>
  <c r="AB49" i="17"/>
  <c r="X37" i="17"/>
  <c r="AB37" i="17" s="1"/>
  <c r="X38" i="17"/>
  <c r="AC38" i="17" s="1"/>
  <c r="X39" i="17"/>
  <c r="AE39" i="17" s="1"/>
  <c r="X36" i="17"/>
  <c r="AE36" i="17" s="1"/>
  <c r="X44" i="17"/>
  <c r="AC44" i="17" s="1"/>
  <c r="X42" i="17"/>
  <c r="AB42" i="17" s="1"/>
  <c r="X43" i="17"/>
  <c r="AC43" i="17" s="1"/>
  <c r="X40" i="17"/>
  <c r="AE40" i="17" s="1"/>
  <c r="X41" i="17"/>
  <c r="AE41" i="17" s="1"/>
  <c r="AB39" i="17"/>
  <c r="AI7" i="2"/>
  <c r="AI8" i="2" s="1"/>
  <c r="AI4" i="2"/>
  <c r="AI3" i="2"/>
  <c r="AK6" i="2"/>
  <c r="U18" i="2"/>
  <c r="C24" i="16" s="1"/>
  <c r="U19" i="2"/>
  <c r="C25" i="16" s="1"/>
  <c r="U20" i="2"/>
  <c r="C26" i="16" s="1"/>
  <c r="U21" i="2"/>
  <c r="C27" i="16" s="1"/>
  <c r="U22" i="2"/>
  <c r="C28" i="16" s="1"/>
  <c r="G26" i="16" s="1"/>
  <c r="U17" i="2"/>
  <c r="C23" i="16" s="1"/>
  <c r="AH9" i="1"/>
  <c r="AH8" i="1"/>
  <c r="AH5" i="1"/>
  <c r="AH4" i="1"/>
  <c r="AJ4" i="1"/>
  <c r="AJ5" i="1"/>
  <c r="AJ6" i="1"/>
  <c r="AJ7" i="1"/>
  <c r="AJ8" i="1"/>
  <c r="AJ9" i="1"/>
  <c r="AJ10" i="1"/>
  <c r="AT8" i="1"/>
  <c r="AT7" i="1"/>
  <c r="AL7" i="2"/>
  <c r="AL8" i="2"/>
  <c r="AL9" i="2"/>
  <c r="AL10" i="2"/>
  <c r="AL11" i="2"/>
  <c r="AL12" i="2"/>
  <c r="AL6" i="2"/>
  <c r="AJ4" i="9"/>
  <c r="AJ5" i="9"/>
  <c r="AJ6" i="9"/>
  <c r="AJ7" i="9"/>
  <c r="AJ8" i="9"/>
  <c r="AJ9" i="9"/>
  <c r="AJ3" i="9"/>
  <c r="AL4" i="9"/>
  <c r="AL5" i="9"/>
  <c r="AL6" i="9"/>
  <c r="AL7" i="9"/>
  <c r="AL8" i="9"/>
  <c r="AL9" i="9"/>
  <c r="AL3" i="9"/>
  <c r="AK4" i="9"/>
  <c r="AK5" i="9"/>
  <c r="AK6" i="9"/>
  <c r="AK7" i="9"/>
  <c r="AK8" i="9"/>
  <c r="AK9" i="9"/>
  <c r="AK3" i="9"/>
  <c r="AS7" i="2"/>
  <c r="AS8" i="2"/>
  <c r="AS9" i="2"/>
  <c r="AS10" i="2"/>
  <c r="AS11" i="2"/>
  <c r="AS12" i="2"/>
  <c r="AS6" i="2"/>
  <c r="AK7" i="2"/>
  <c r="AK8" i="2"/>
  <c r="AK9" i="2"/>
  <c r="AK10" i="2"/>
  <c r="AK11" i="2"/>
  <c r="AK12" i="2"/>
  <c r="AI3" i="9"/>
  <c r="AZ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Z114" i="2"/>
  <c r="AZ115" i="2"/>
  <c r="AZ116" i="2"/>
  <c r="AZ117" i="2"/>
  <c r="AZ118" i="2"/>
  <c r="AZ119" i="2"/>
  <c r="AZ120" i="2"/>
  <c r="AZ121" i="2"/>
  <c r="AZ122" i="2"/>
  <c r="AZ123" i="2"/>
  <c r="AG8" i="9"/>
  <c r="AG7" i="9"/>
  <c r="AI4" i="9"/>
  <c r="AI5" i="9"/>
  <c r="AI6" i="9"/>
  <c r="AI7" i="9"/>
  <c r="AI8" i="9"/>
  <c r="AI9" i="9"/>
  <c r="AC53" i="21" l="1"/>
  <c r="AE52" i="21"/>
  <c r="AB46" i="21"/>
  <c r="AB51" i="21"/>
  <c r="AC49" i="21"/>
  <c r="AE48" i="21"/>
  <c r="R7" i="21"/>
  <c r="Q7" i="21" s="1"/>
  <c r="S16" i="21"/>
  <c r="AD50" i="21"/>
  <c r="S41" i="21"/>
  <c r="AB50" i="21"/>
  <c r="AC50" i="21"/>
  <c r="S40" i="21"/>
  <c r="S36" i="21"/>
  <c r="R39" i="21"/>
  <c r="Q39" i="21" s="1"/>
  <c r="Q16" i="21"/>
  <c r="P16" i="21"/>
  <c r="P7" i="21"/>
  <c r="P39" i="21"/>
  <c r="P37" i="21"/>
  <c r="Q37" i="21"/>
  <c r="AE17" i="21"/>
  <c r="AD17" i="21"/>
  <c r="AC17" i="21"/>
  <c r="AB17" i="21"/>
  <c r="R38" i="21"/>
  <c r="S48" i="21"/>
  <c r="R48" i="21"/>
  <c r="S49" i="21"/>
  <c r="R49" i="21"/>
  <c r="S53" i="21"/>
  <c r="R53" i="21"/>
  <c r="S39" i="21"/>
  <c r="AC45" i="21"/>
  <c r="R44" i="21"/>
  <c r="R36" i="21"/>
  <c r="X18" i="21"/>
  <c r="V19" i="21"/>
  <c r="S7" i="21"/>
  <c r="S52" i="21"/>
  <c r="R52" i="21"/>
  <c r="R40" i="21"/>
  <c r="AB47" i="21"/>
  <c r="S47" i="21" s="1"/>
  <c r="AD45" i="21"/>
  <c r="AC8" i="21"/>
  <c r="AB8" i="21"/>
  <c r="AE8" i="21"/>
  <c r="R8" i="21" s="1"/>
  <c r="AD8" i="21"/>
  <c r="Q42" i="21"/>
  <c r="P42" i="21"/>
  <c r="Q43" i="21"/>
  <c r="P43" i="21"/>
  <c r="S46" i="21"/>
  <c r="R46" i="21"/>
  <c r="S51" i="21"/>
  <c r="R51" i="21"/>
  <c r="AC47" i="21"/>
  <c r="X9" i="21"/>
  <c r="V10" i="21"/>
  <c r="Q41" i="21"/>
  <c r="P41" i="21"/>
  <c r="S50" i="21"/>
  <c r="R50" i="21"/>
  <c r="AD47" i="21"/>
  <c r="AB45" i="21"/>
  <c r="S45" i="21" s="1"/>
  <c r="Q6" i="21"/>
  <c r="P6" i="21"/>
  <c r="R50" i="20"/>
  <c r="S47" i="20"/>
  <c r="R44" i="20"/>
  <c r="S48" i="20"/>
  <c r="R16" i="20"/>
  <c r="S40" i="20"/>
  <c r="R47" i="20"/>
  <c r="Q47" i="20" s="1"/>
  <c r="S7" i="20"/>
  <c r="R36" i="20"/>
  <c r="S42" i="20"/>
  <c r="S49" i="20"/>
  <c r="R39" i="20"/>
  <c r="Q39" i="20" s="1"/>
  <c r="S45" i="20"/>
  <c r="R53" i="20"/>
  <c r="P53" i="20" s="1"/>
  <c r="S46" i="20"/>
  <c r="R37" i="20"/>
  <c r="Q37" i="20" s="1"/>
  <c r="R51" i="20"/>
  <c r="Q53" i="20"/>
  <c r="P47" i="20"/>
  <c r="Q36" i="20"/>
  <c r="P36" i="20"/>
  <c r="X9" i="20"/>
  <c r="V10" i="20"/>
  <c r="Q43" i="20"/>
  <c r="P43" i="20"/>
  <c r="R7" i="20"/>
  <c r="R40" i="20"/>
  <c r="R38" i="20"/>
  <c r="R49" i="20"/>
  <c r="R52" i="20"/>
  <c r="AC8" i="20"/>
  <c r="AB8" i="20"/>
  <c r="R8" i="20" s="1"/>
  <c r="AE8" i="20"/>
  <c r="AD8" i="20"/>
  <c r="Q44" i="20"/>
  <c r="P44" i="20"/>
  <c r="R45" i="20"/>
  <c r="Q50" i="20"/>
  <c r="P50" i="20"/>
  <c r="AB17" i="20"/>
  <c r="AD17" i="20"/>
  <c r="AE17" i="20"/>
  <c r="AC17" i="20"/>
  <c r="R48" i="20"/>
  <c r="Q42" i="20"/>
  <c r="P42" i="20"/>
  <c r="R46" i="20"/>
  <c r="Q16" i="20"/>
  <c r="P16" i="20"/>
  <c r="X18" i="20"/>
  <c r="V19" i="20"/>
  <c r="P37" i="20"/>
  <c r="Q41" i="20"/>
  <c r="P41" i="20"/>
  <c r="Q51" i="20"/>
  <c r="P51" i="20"/>
  <c r="Q15" i="20"/>
  <c r="P15" i="20"/>
  <c r="AB37" i="19"/>
  <c r="S52" i="19"/>
  <c r="AE43" i="19"/>
  <c r="AD37" i="19"/>
  <c r="S48" i="19"/>
  <c r="S45" i="19"/>
  <c r="AD43" i="19"/>
  <c r="S46" i="19"/>
  <c r="AC37" i="19"/>
  <c r="R52" i="19"/>
  <c r="R50" i="19"/>
  <c r="R48" i="19"/>
  <c r="Q48" i="19" s="1"/>
  <c r="S51" i="19"/>
  <c r="S7" i="19"/>
  <c r="S16" i="19"/>
  <c r="Q50" i="19"/>
  <c r="P50" i="19"/>
  <c r="Q47" i="19"/>
  <c r="P47" i="19"/>
  <c r="S44" i="19"/>
  <c r="R44" i="19"/>
  <c r="AC42" i="19"/>
  <c r="AE41" i="19"/>
  <c r="S50" i="19"/>
  <c r="R16" i="19"/>
  <c r="AD38" i="19"/>
  <c r="AB36" i="19"/>
  <c r="R51" i="19"/>
  <c r="AE17" i="19"/>
  <c r="AB17" i="19"/>
  <c r="AC17" i="19"/>
  <c r="AD17" i="19"/>
  <c r="AD42" i="19"/>
  <c r="AB41" i="19"/>
  <c r="S41" i="19" s="1"/>
  <c r="Q49" i="19"/>
  <c r="P49" i="19"/>
  <c r="AB40" i="19"/>
  <c r="S40" i="19" s="1"/>
  <c r="AD39" i="19"/>
  <c r="Q53" i="19"/>
  <c r="P53" i="19"/>
  <c r="V10" i="19"/>
  <c r="X9" i="19"/>
  <c r="Q15" i="19"/>
  <c r="P15" i="19"/>
  <c r="AC36" i="19"/>
  <c r="X18" i="19"/>
  <c r="V19" i="19"/>
  <c r="Q52" i="19"/>
  <c r="P52" i="19"/>
  <c r="S43" i="19"/>
  <c r="R43" i="19"/>
  <c r="AC41" i="19"/>
  <c r="AC40" i="19"/>
  <c r="AE39" i="19"/>
  <c r="AD8" i="19"/>
  <c r="AC8" i="19"/>
  <c r="AB8" i="19"/>
  <c r="AE8" i="19"/>
  <c r="AB38" i="19"/>
  <c r="S38" i="19" s="1"/>
  <c r="AD36" i="19"/>
  <c r="P46" i="19"/>
  <c r="Q46" i="19"/>
  <c r="R45" i="19"/>
  <c r="S37" i="19"/>
  <c r="R37" i="19"/>
  <c r="AB42" i="19"/>
  <c r="S42" i="19" s="1"/>
  <c r="AD41" i="19"/>
  <c r="Q7" i="19"/>
  <c r="P7" i="19"/>
  <c r="AD40" i="19"/>
  <c r="AB39" i="19"/>
  <c r="AC38" i="19"/>
  <c r="AE36" i="19"/>
  <c r="S36" i="19" s="1"/>
  <c r="S36" i="18"/>
  <c r="R53" i="18"/>
  <c r="S43" i="18"/>
  <c r="S51" i="18"/>
  <c r="S42" i="18"/>
  <c r="S49" i="18"/>
  <c r="R38" i="18"/>
  <c r="S44" i="18"/>
  <c r="S37" i="18"/>
  <c r="R52" i="18"/>
  <c r="S50" i="18"/>
  <c r="S16" i="18"/>
  <c r="S48" i="18"/>
  <c r="S41" i="18"/>
  <c r="S39" i="18"/>
  <c r="R36" i="18"/>
  <c r="Q36" i="18" s="1"/>
  <c r="R44" i="18"/>
  <c r="S7" i="18"/>
  <c r="R43" i="18"/>
  <c r="S38" i="18"/>
  <c r="S53" i="18"/>
  <c r="R41" i="18"/>
  <c r="Q41" i="18" s="1"/>
  <c r="R50" i="18"/>
  <c r="R48" i="18"/>
  <c r="Q48" i="18" s="1"/>
  <c r="R45" i="18"/>
  <c r="R7" i="18"/>
  <c r="Q7" i="18" s="1"/>
  <c r="Q50" i="18"/>
  <c r="P50" i="18"/>
  <c r="Q45" i="18"/>
  <c r="P45" i="18"/>
  <c r="Q38" i="18"/>
  <c r="P38" i="18"/>
  <c r="Q44" i="18"/>
  <c r="P44" i="18"/>
  <c r="Q53" i="18"/>
  <c r="P53" i="18"/>
  <c r="R16" i="18"/>
  <c r="R37" i="18"/>
  <c r="AD17" i="18"/>
  <c r="AB17" i="18"/>
  <c r="AE17" i="18"/>
  <c r="AC17" i="18"/>
  <c r="Q40" i="18"/>
  <c r="P40" i="18"/>
  <c r="Q43" i="18"/>
  <c r="P43" i="18"/>
  <c r="P46" i="18"/>
  <c r="Q46" i="18"/>
  <c r="Q39" i="18"/>
  <c r="P39" i="18"/>
  <c r="Q47" i="18"/>
  <c r="P47" i="18"/>
  <c r="Q15" i="18"/>
  <c r="P15" i="18"/>
  <c r="X18" i="18"/>
  <c r="V19" i="18"/>
  <c r="R42" i="18"/>
  <c r="R49" i="18"/>
  <c r="X9" i="18"/>
  <c r="V10" i="18"/>
  <c r="Q51" i="18"/>
  <c r="P51" i="18"/>
  <c r="P41" i="18"/>
  <c r="Q52" i="18"/>
  <c r="P52" i="18"/>
  <c r="AB8" i="18"/>
  <c r="AE8" i="18"/>
  <c r="AD8" i="18"/>
  <c r="AC8" i="18"/>
  <c r="P7" i="18"/>
  <c r="AD39" i="17"/>
  <c r="S49" i="17"/>
  <c r="R50" i="17"/>
  <c r="S7" i="17"/>
  <c r="AC39" i="17"/>
  <c r="R46" i="17"/>
  <c r="R53" i="17"/>
  <c r="S48" i="17"/>
  <c r="Q15" i="17"/>
  <c r="R49" i="17"/>
  <c r="R52" i="17"/>
  <c r="Q52" i="17" s="1"/>
  <c r="S51" i="17"/>
  <c r="AB40" i="17"/>
  <c r="AC40" i="17"/>
  <c r="R48" i="17"/>
  <c r="AC36" i="17"/>
  <c r="AD40" i="17"/>
  <c r="AB36" i="17"/>
  <c r="S36" i="17" s="1"/>
  <c r="S47" i="17"/>
  <c r="R7" i="17"/>
  <c r="P7" i="17" s="1"/>
  <c r="S46" i="17"/>
  <c r="P52" i="17"/>
  <c r="Q49" i="17"/>
  <c r="P49" i="17"/>
  <c r="Q45" i="17"/>
  <c r="P45" i="17"/>
  <c r="S40" i="17"/>
  <c r="R40" i="17"/>
  <c r="R36" i="17"/>
  <c r="AB38" i="17"/>
  <c r="AD36" i="17"/>
  <c r="Q53" i="17"/>
  <c r="P53" i="17"/>
  <c r="AE44" i="17"/>
  <c r="AD37" i="17"/>
  <c r="AE8" i="17"/>
  <c r="AC8" i="17"/>
  <c r="AD8" i="17"/>
  <c r="AB8" i="17"/>
  <c r="R8" i="17" s="1"/>
  <c r="AE42" i="17"/>
  <c r="AC41" i="17"/>
  <c r="S52" i="17"/>
  <c r="AD17" i="17"/>
  <c r="AE17" i="17"/>
  <c r="AB17" i="17"/>
  <c r="AC17" i="17"/>
  <c r="S39" i="17"/>
  <c r="R39" i="17"/>
  <c r="AB44" i="17"/>
  <c r="S44" i="17" s="1"/>
  <c r="AD43" i="17"/>
  <c r="AE37" i="17"/>
  <c r="S37" i="17" s="1"/>
  <c r="Q51" i="17"/>
  <c r="P51" i="17"/>
  <c r="R16" i="17"/>
  <c r="AD41" i="17"/>
  <c r="R47" i="17"/>
  <c r="S42" i="17"/>
  <c r="R42" i="17"/>
  <c r="Q48" i="17"/>
  <c r="P48" i="17"/>
  <c r="AD38" i="17"/>
  <c r="Q50" i="17"/>
  <c r="P50" i="17"/>
  <c r="P6" i="17"/>
  <c r="Q6" i="17"/>
  <c r="AE43" i="17"/>
  <c r="AC42" i="17"/>
  <c r="AE38" i="17"/>
  <c r="R38" i="17" s="1"/>
  <c r="AD44" i="17"/>
  <c r="AB43" i="17"/>
  <c r="AC37" i="17"/>
  <c r="P46" i="17"/>
  <c r="Q46" i="17"/>
  <c r="V10" i="17"/>
  <c r="X9" i="17"/>
  <c r="AD42" i="17"/>
  <c r="AB41" i="17"/>
  <c r="S41" i="17" s="1"/>
  <c r="V19" i="17"/>
  <c r="X18" i="17"/>
  <c r="C25" i="13"/>
  <c r="C28" i="13"/>
  <c r="G26" i="13" s="1"/>
  <c r="C24" i="13"/>
  <c r="C23" i="13"/>
  <c r="C27" i="13"/>
  <c r="C26" i="13"/>
  <c r="AM7" i="1"/>
  <c r="AM4" i="1"/>
  <c r="AM8" i="1"/>
  <c r="AL4" i="1"/>
  <c r="AM5" i="1"/>
  <c r="AM9" i="1"/>
  <c r="AM6" i="1"/>
  <c r="AM10" i="1"/>
  <c r="AO3" i="1"/>
  <c r="AO16" i="1" s="1"/>
  <c r="AN2" i="2"/>
  <c r="AM18" i="2" s="1"/>
  <c r="AN2" i="9"/>
  <c r="AM2" i="9" s="1"/>
  <c r="AN13" i="9" s="1"/>
  <c r="AN1" i="9"/>
  <c r="AM1" i="9" s="1"/>
  <c r="AI13" i="9" s="1"/>
  <c r="AS5" i="1"/>
  <c r="AS4" i="1"/>
  <c r="AG4" i="9"/>
  <c r="AG3" i="9"/>
  <c r="BA3" i="2"/>
  <c r="O6" i="9"/>
  <c r="O7" i="9"/>
  <c r="O8" i="9"/>
  <c r="O9" i="9"/>
  <c r="O10" i="9"/>
  <c r="O11" i="9"/>
  <c r="O5" i="9"/>
  <c r="S17" i="21" l="1"/>
  <c r="Q8" i="21"/>
  <c r="P8" i="21"/>
  <c r="Q50" i="21"/>
  <c r="P50" i="21"/>
  <c r="X10" i="21"/>
  <c r="V11" i="21"/>
  <c r="S8" i="21"/>
  <c r="Q52" i="21"/>
  <c r="P52" i="21"/>
  <c r="Q44" i="21"/>
  <c r="P44" i="21"/>
  <c r="AE9" i="21"/>
  <c r="R9" i="21" s="1"/>
  <c r="AB9" i="21"/>
  <c r="AC9" i="21"/>
  <c r="AD9" i="21"/>
  <c r="P46" i="21"/>
  <c r="Q46" i="21"/>
  <c r="X19" i="21"/>
  <c r="V20" i="21"/>
  <c r="Q49" i="21"/>
  <c r="P49" i="21"/>
  <c r="Q38" i="21"/>
  <c r="P38" i="21"/>
  <c r="R45" i="21"/>
  <c r="R47" i="21"/>
  <c r="AE18" i="21"/>
  <c r="R18" i="21" s="1"/>
  <c r="AD18" i="21"/>
  <c r="AC18" i="21"/>
  <c r="AB18" i="21"/>
  <c r="R17" i="21"/>
  <c r="Q51" i="21"/>
  <c r="P51" i="21"/>
  <c r="Q40" i="21"/>
  <c r="P40" i="21"/>
  <c r="Q36" i="21"/>
  <c r="P36" i="21"/>
  <c r="Q53" i="21"/>
  <c r="P53" i="21"/>
  <c r="Q48" i="21"/>
  <c r="P48" i="21"/>
  <c r="P39" i="20"/>
  <c r="S17" i="20"/>
  <c r="S8" i="20"/>
  <c r="Q49" i="20"/>
  <c r="P49" i="20"/>
  <c r="P14" i="20"/>
  <c r="P26" i="20"/>
  <c r="Q48" i="20"/>
  <c r="P48" i="20"/>
  <c r="P8" i="20"/>
  <c r="Q8" i="20"/>
  <c r="Q38" i="20"/>
  <c r="P38" i="20"/>
  <c r="Q26" i="20"/>
  <c r="Q14" i="20"/>
  <c r="X19" i="20"/>
  <c r="V20" i="20"/>
  <c r="P46" i="20"/>
  <c r="Q46" i="20"/>
  <c r="R17" i="20"/>
  <c r="Q45" i="20"/>
  <c r="P45" i="20"/>
  <c r="Q40" i="20"/>
  <c r="P40" i="20"/>
  <c r="X10" i="20"/>
  <c r="V11" i="20"/>
  <c r="AD18" i="20"/>
  <c r="AB18" i="20"/>
  <c r="AC18" i="20"/>
  <c r="AE18" i="20"/>
  <c r="Q52" i="20"/>
  <c r="P52" i="20"/>
  <c r="Q7" i="20"/>
  <c r="P7" i="20"/>
  <c r="AE9" i="20"/>
  <c r="AD9" i="20"/>
  <c r="AC9" i="20"/>
  <c r="AB9" i="20"/>
  <c r="S8" i="19"/>
  <c r="R39" i="19"/>
  <c r="Q39" i="19" s="1"/>
  <c r="R40" i="19"/>
  <c r="S17" i="19"/>
  <c r="P48" i="19"/>
  <c r="R41" i="19"/>
  <c r="P41" i="19" s="1"/>
  <c r="R17" i="19"/>
  <c r="Q41" i="19"/>
  <c r="P39" i="19"/>
  <c r="P37" i="19"/>
  <c r="Q37" i="19"/>
  <c r="R8" i="19"/>
  <c r="Q43" i="19"/>
  <c r="P43" i="19"/>
  <c r="X10" i="19"/>
  <c r="V11" i="19"/>
  <c r="S39" i="19"/>
  <c r="P27" i="19"/>
  <c r="P25" i="19"/>
  <c r="Q40" i="19"/>
  <c r="P40" i="19"/>
  <c r="Q17" i="19"/>
  <c r="P17" i="19"/>
  <c r="R42" i="19"/>
  <c r="Q45" i="19"/>
  <c r="P45" i="19"/>
  <c r="R38" i="19"/>
  <c r="X19" i="19"/>
  <c r="V20" i="19"/>
  <c r="Q27" i="19"/>
  <c r="Q25" i="19"/>
  <c r="Q16" i="19"/>
  <c r="P16" i="19"/>
  <c r="Q44" i="19"/>
  <c r="P44" i="19"/>
  <c r="R36" i="19"/>
  <c r="AC18" i="19"/>
  <c r="AB18" i="19"/>
  <c r="AE18" i="19"/>
  <c r="AD18" i="19"/>
  <c r="AB9" i="19"/>
  <c r="R9" i="19" s="1"/>
  <c r="AE9" i="19"/>
  <c r="AD9" i="19"/>
  <c r="AC9" i="19"/>
  <c r="Q51" i="19"/>
  <c r="P51" i="19"/>
  <c r="P36" i="18"/>
  <c r="R8" i="18"/>
  <c r="Q8" i="18" s="1"/>
  <c r="P48" i="18"/>
  <c r="S8" i="18"/>
  <c r="S17" i="18"/>
  <c r="P8" i="18"/>
  <c r="Q42" i="18"/>
  <c r="P42" i="18"/>
  <c r="X10" i="18"/>
  <c r="V11" i="18"/>
  <c r="X19" i="18"/>
  <c r="V20" i="18"/>
  <c r="P37" i="18"/>
  <c r="Q37" i="18"/>
  <c r="AD9" i="18"/>
  <c r="AE9" i="18"/>
  <c r="AB9" i="18"/>
  <c r="S9" i="18" s="1"/>
  <c r="AC9" i="18"/>
  <c r="AD18" i="18"/>
  <c r="AC18" i="18"/>
  <c r="AB18" i="18"/>
  <c r="S18" i="18" s="1"/>
  <c r="AE18" i="18"/>
  <c r="Q16" i="18"/>
  <c r="P16" i="18"/>
  <c r="Q49" i="18"/>
  <c r="P49" i="18"/>
  <c r="R17" i="18"/>
  <c r="P14" i="18"/>
  <c r="P26" i="18"/>
  <c r="Q26" i="18"/>
  <c r="Q14" i="18"/>
  <c r="Q7" i="17"/>
  <c r="R37" i="17"/>
  <c r="R44" i="17"/>
  <c r="S17" i="17"/>
  <c r="S43" i="17"/>
  <c r="S8" i="17"/>
  <c r="Q38" i="17"/>
  <c r="P38" i="17"/>
  <c r="AE18" i="17"/>
  <c r="AD18" i="17"/>
  <c r="AC18" i="17"/>
  <c r="AB18" i="17"/>
  <c r="S18" i="17" s="1"/>
  <c r="AC9" i="17"/>
  <c r="AB9" i="17"/>
  <c r="R9" i="17" s="1"/>
  <c r="AE9" i="17"/>
  <c r="AD9" i="17"/>
  <c r="P37" i="17"/>
  <c r="Q37" i="17"/>
  <c r="R41" i="17"/>
  <c r="S38" i="17"/>
  <c r="R17" i="17"/>
  <c r="Q36" i="17"/>
  <c r="P36" i="17"/>
  <c r="P27" i="17"/>
  <c r="P25" i="17"/>
  <c r="X19" i="17"/>
  <c r="V20" i="17"/>
  <c r="X10" i="17"/>
  <c r="V11" i="17"/>
  <c r="Q42" i="17"/>
  <c r="P42" i="17"/>
  <c r="Q16" i="17"/>
  <c r="P16" i="17"/>
  <c r="R43" i="17"/>
  <c r="Q8" i="17"/>
  <c r="P8" i="17"/>
  <c r="Q25" i="17"/>
  <c r="Q27" i="17"/>
  <c r="Q44" i="17"/>
  <c r="P44" i="17"/>
  <c r="Q40" i="17"/>
  <c r="P40" i="17"/>
  <c r="Q47" i="17"/>
  <c r="P47" i="17"/>
  <c r="Q39" i="17"/>
  <c r="P39" i="17"/>
  <c r="AN3" i="1"/>
  <c r="AT4" i="1"/>
  <c r="AL5" i="1"/>
  <c r="AL9" i="1"/>
  <c r="AL6" i="1"/>
  <c r="AL10" i="1"/>
  <c r="AL7" i="1"/>
  <c r="AL8" i="1"/>
  <c r="AS9" i="1"/>
  <c r="AS8" i="1"/>
  <c r="AM2" i="2"/>
  <c r="AN15" i="9"/>
  <c r="AO15" i="9"/>
  <c r="AX3" i="2"/>
  <c r="AW3" i="2"/>
  <c r="AI15" i="9"/>
  <c r="AT3" i="1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4" i="2"/>
  <c r="BC55" i="2"/>
  <c r="BC56" i="2"/>
  <c r="BC57" i="2"/>
  <c r="BC58" i="2"/>
  <c r="BC59" i="2"/>
  <c r="BC60" i="2"/>
  <c r="BC61" i="2"/>
  <c r="BC62" i="2"/>
  <c r="BC63" i="2"/>
  <c r="BC64" i="2"/>
  <c r="BC65" i="2"/>
  <c r="BC66" i="2"/>
  <c r="BC67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BC114" i="2"/>
  <c r="BC115" i="2"/>
  <c r="BC116" i="2"/>
  <c r="BC117" i="2"/>
  <c r="BC118" i="2"/>
  <c r="BC119" i="2"/>
  <c r="BC120" i="2"/>
  <c r="BC121" i="2"/>
  <c r="BC122" i="2"/>
  <c r="BC123" i="2"/>
  <c r="BC3" i="2"/>
  <c r="BN5" i="2"/>
  <c r="BN7" i="2"/>
  <c r="BN8" i="2"/>
  <c r="BN9" i="2"/>
  <c r="BN10" i="2"/>
  <c r="BN4" i="2"/>
  <c r="P9" i="21" l="1"/>
  <c r="Q9" i="21"/>
  <c r="P18" i="21"/>
  <c r="Q18" i="21"/>
  <c r="P14" i="21"/>
  <c r="P26" i="21"/>
  <c r="S18" i="21"/>
  <c r="AC19" i="21"/>
  <c r="AB19" i="21"/>
  <c r="AE19" i="21"/>
  <c r="AD19" i="21"/>
  <c r="S9" i="21"/>
  <c r="Q26" i="21"/>
  <c r="Q14" i="21"/>
  <c r="Q47" i="21"/>
  <c r="P47" i="21"/>
  <c r="P27" i="21"/>
  <c r="P25" i="21"/>
  <c r="Q17" i="21"/>
  <c r="P17" i="21"/>
  <c r="Q45" i="21"/>
  <c r="P45" i="21"/>
  <c r="Q27" i="21"/>
  <c r="Q25" i="21"/>
  <c r="X11" i="21"/>
  <c r="V12" i="21"/>
  <c r="X20" i="21"/>
  <c r="V21" i="21"/>
  <c r="AE10" i="21"/>
  <c r="S10" i="21" s="1"/>
  <c r="AD10" i="21"/>
  <c r="AC10" i="21"/>
  <c r="AB10" i="21"/>
  <c r="R18" i="20"/>
  <c r="P18" i="20" s="1"/>
  <c r="S9" i="20"/>
  <c r="Q18" i="20"/>
  <c r="S18" i="20"/>
  <c r="R9" i="20"/>
  <c r="V12" i="20"/>
  <c r="X11" i="20"/>
  <c r="AD10" i="20"/>
  <c r="AB10" i="20"/>
  <c r="AC10" i="20"/>
  <c r="AE10" i="20"/>
  <c r="S10" i="20" s="1"/>
  <c r="X20" i="20"/>
  <c r="V21" i="20"/>
  <c r="P27" i="20"/>
  <c r="P25" i="20"/>
  <c r="Q17" i="20"/>
  <c r="P17" i="20"/>
  <c r="AC19" i="20"/>
  <c r="AE19" i="20"/>
  <c r="AD19" i="20"/>
  <c r="AB19" i="20"/>
  <c r="Q27" i="20"/>
  <c r="Q25" i="20"/>
  <c r="S9" i="19"/>
  <c r="R18" i="19"/>
  <c r="P18" i="19" s="1"/>
  <c r="S18" i="19"/>
  <c r="X20" i="19"/>
  <c r="V21" i="19"/>
  <c r="Q9" i="19"/>
  <c r="P9" i="19"/>
  <c r="Q36" i="19"/>
  <c r="P36" i="19"/>
  <c r="AC19" i="19"/>
  <c r="AD19" i="19"/>
  <c r="AB19" i="19"/>
  <c r="AE19" i="19"/>
  <c r="Q42" i="19"/>
  <c r="P42" i="19"/>
  <c r="X11" i="19"/>
  <c r="V12" i="19"/>
  <c r="Q8" i="19"/>
  <c r="P8" i="19"/>
  <c r="Q38" i="19"/>
  <c r="P38" i="19"/>
  <c r="AB10" i="19"/>
  <c r="AC10" i="19"/>
  <c r="AE10" i="19"/>
  <c r="AD10" i="19"/>
  <c r="R18" i="18"/>
  <c r="Q18" i="18" s="1"/>
  <c r="R9" i="18"/>
  <c r="P9" i="18" s="1"/>
  <c r="P18" i="18"/>
  <c r="Q27" i="18"/>
  <c r="Q25" i="18"/>
  <c r="X20" i="18"/>
  <c r="V21" i="18"/>
  <c r="Q17" i="18"/>
  <c r="P17" i="18"/>
  <c r="AB19" i="18"/>
  <c r="AE19" i="18"/>
  <c r="AC19" i="18"/>
  <c r="AD19" i="18"/>
  <c r="P27" i="18"/>
  <c r="P25" i="18"/>
  <c r="V12" i="18"/>
  <c r="X11" i="18"/>
  <c r="AD10" i="18"/>
  <c r="AC10" i="18"/>
  <c r="AB10" i="18"/>
  <c r="AE10" i="18"/>
  <c r="R18" i="17"/>
  <c r="P18" i="17" s="1"/>
  <c r="S9" i="17"/>
  <c r="Q9" i="17"/>
  <c r="P9" i="17"/>
  <c r="Q18" i="17"/>
  <c r="Q43" i="17"/>
  <c r="P43" i="17"/>
  <c r="AD19" i="17"/>
  <c r="AC19" i="17"/>
  <c r="AB19" i="17"/>
  <c r="S19" i="17" s="1"/>
  <c r="AE19" i="17"/>
  <c r="Q26" i="17"/>
  <c r="Q14" i="17"/>
  <c r="X11" i="17"/>
  <c r="V12" i="17"/>
  <c r="Q17" i="17"/>
  <c r="P17" i="17"/>
  <c r="AD10" i="17"/>
  <c r="AC10" i="17"/>
  <c r="AB10" i="17"/>
  <c r="S10" i="17" s="1"/>
  <c r="AE10" i="17"/>
  <c r="X20" i="17"/>
  <c r="V21" i="17"/>
  <c r="P26" i="17"/>
  <c r="P14" i="17"/>
  <c r="Q41" i="17"/>
  <c r="P41" i="17"/>
  <c r="AK18" i="2"/>
  <c r="AP16" i="1"/>
  <c r="AO14" i="1"/>
  <c r="AO2" i="1"/>
  <c r="AJ16" i="1" s="1"/>
  <c r="AK16" i="2"/>
  <c r="O17" i="9"/>
  <c r="AH6" i="9" s="1"/>
  <c r="AK15" i="9"/>
  <c r="O16" i="9" s="1"/>
  <c r="BA18" i="2"/>
  <c r="R19" i="21" l="1"/>
  <c r="Q19" i="21" s="1"/>
  <c r="R10" i="21"/>
  <c r="V13" i="21"/>
  <c r="X13" i="21" s="1"/>
  <c r="X12" i="21"/>
  <c r="S19" i="21"/>
  <c r="AC11" i="21"/>
  <c r="AB11" i="21"/>
  <c r="AD11" i="21"/>
  <c r="AE11" i="21"/>
  <c r="V22" i="21"/>
  <c r="X21" i="21"/>
  <c r="AD20" i="21"/>
  <c r="AC20" i="21"/>
  <c r="AB20" i="21"/>
  <c r="AE20" i="21"/>
  <c r="S20" i="21" s="1"/>
  <c r="R10" i="20"/>
  <c r="Q10" i="20" s="1"/>
  <c r="S19" i="20"/>
  <c r="R19" i="20"/>
  <c r="Q9" i="20"/>
  <c r="P9" i="20"/>
  <c r="V22" i="20"/>
  <c r="X21" i="20"/>
  <c r="AC11" i="20"/>
  <c r="AB11" i="20"/>
  <c r="R11" i="20" s="1"/>
  <c r="AE11" i="20"/>
  <c r="AD11" i="20"/>
  <c r="AB20" i="20"/>
  <c r="AE20" i="20"/>
  <c r="R20" i="20" s="1"/>
  <c r="AC20" i="20"/>
  <c r="AD20" i="20"/>
  <c r="V13" i="20"/>
  <c r="X13" i="20" s="1"/>
  <c r="X12" i="20"/>
  <c r="Q18" i="19"/>
  <c r="S19" i="19"/>
  <c r="R10" i="19"/>
  <c r="P10" i="19" s="1"/>
  <c r="Q10" i="19"/>
  <c r="S10" i="19"/>
  <c r="R19" i="19"/>
  <c r="Q26" i="19"/>
  <c r="Q14" i="19"/>
  <c r="AC20" i="19"/>
  <c r="AB20" i="19"/>
  <c r="AE20" i="19"/>
  <c r="AD20" i="19"/>
  <c r="V13" i="19"/>
  <c r="X13" i="19" s="1"/>
  <c r="X12" i="19"/>
  <c r="AC11" i="19"/>
  <c r="AD11" i="19"/>
  <c r="AB11" i="19"/>
  <c r="AE11" i="19"/>
  <c r="P14" i="19"/>
  <c r="P26" i="19"/>
  <c r="V22" i="19"/>
  <c r="X21" i="19"/>
  <c r="S19" i="18"/>
  <c r="Q9" i="18"/>
  <c r="R10" i="18"/>
  <c r="S10" i="18"/>
  <c r="R19" i="18"/>
  <c r="Q10" i="18"/>
  <c r="P10" i="18"/>
  <c r="Q19" i="18"/>
  <c r="P19" i="18"/>
  <c r="AC11" i="18"/>
  <c r="AB11" i="18"/>
  <c r="AE11" i="18"/>
  <c r="R11" i="18" s="1"/>
  <c r="AD11" i="18"/>
  <c r="V22" i="18"/>
  <c r="X21" i="18"/>
  <c r="X12" i="18"/>
  <c r="V13" i="18"/>
  <c r="X13" i="18" s="1"/>
  <c r="AB20" i="18"/>
  <c r="AC20" i="18"/>
  <c r="AE20" i="18"/>
  <c r="R20" i="18" s="1"/>
  <c r="AD20" i="18"/>
  <c r="R19" i="17"/>
  <c r="P19" i="17" s="1"/>
  <c r="R10" i="17"/>
  <c r="Q10" i="17" s="1"/>
  <c r="Q19" i="17"/>
  <c r="V13" i="17"/>
  <c r="X13" i="17" s="1"/>
  <c r="X12" i="17"/>
  <c r="AC11" i="17"/>
  <c r="AB11" i="17"/>
  <c r="AE11" i="17"/>
  <c r="AD11" i="17"/>
  <c r="V22" i="17"/>
  <c r="X21" i="17"/>
  <c r="AB20" i="17"/>
  <c r="AC20" i="17"/>
  <c r="AE20" i="17"/>
  <c r="AD20" i="17"/>
  <c r="AJ3" i="2"/>
  <c r="AJ7" i="2" s="1"/>
  <c r="AJ2" i="2"/>
  <c r="AJ6" i="2" s="1"/>
  <c r="AG18" i="2"/>
  <c r="AH18" i="2"/>
  <c r="O18" i="2"/>
  <c r="E21" i="1"/>
  <c r="AN2" i="1"/>
  <c r="AH7" i="9"/>
  <c r="BA8" i="2"/>
  <c r="AX8" i="2" s="1"/>
  <c r="AY3" i="2"/>
  <c r="BA4" i="2"/>
  <c r="BA5" i="2"/>
  <c r="BA6" i="2"/>
  <c r="BA7" i="2"/>
  <c r="BA9" i="2"/>
  <c r="BA10" i="2"/>
  <c r="BA11" i="2"/>
  <c r="BA12" i="2"/>
  <c r="BA13" i="2"/>
  <c r="BA14" i="2"/>
  <c r="BA15" i="2"/>
  <c r="BA16" i="2"/>
  <c r="BA17" i="2"/>
  <c r="AY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37" i="2"/>
  <c r="BA38" i="2"/>
  <c r="BA39" i="2"/>
  <c r="BA40" i="2"/>
  <c r="BA41" i="2"/>
  <c r="BA42" i="2"/>
  <c r="BA43" i="2"/>
  <c r="BA44" i="2"/>
  <c r="BA45" i="2"/>
  <c r="BA46" i="2"/>
  <c r="BA47" i="2"/>
  <c r="BA48" i="2"/>
  <c r="BA49" i="2"/>
  <c r="BA50" i="2"/>
  <c r="BA51" i="2"/>
  <c r="BA52" i="2"/>
  <c r="BA53" i="2"/>
  <c r="BA54" i="2"/>
  <c r="BA55" i="2"/>
  <c r="BA56" i="2"/>
  <c r="BA57" i="2"/>
  <c r="BA58" i="2"/>
  <c r="BA59" i="2"/>
  <c r="BA60" i="2"/>
  <c r="BA61" i="2"/>
  <c r="BA62" i="2"/>
  <c r="BA63" i="2"/>
  <c r="BA64" i="2"/>
  <c r="BA65" i="2"/>
  <c r="BA66" i="2"/>
  <c r="AW66" i="2" s="1"/>
  <c r="BA67" i="2"/>
  <c r="BA68" i="2"/>
  <c r="AX18" i="2"/>
  <c r="AW18" i="2"/>
  <c r="R20" i="21" l="1"/>
  <c r="Q20" i="21" s="1"/>
  <c r="S11" i="21"/>
  <c r="P19" i="21"/>
  <c r="P20" i="21"/>
  <c r="R11" i="21"/>
  <c r="AC13" i="21"/>
  <c r="AB13" i="21"/>
  <c r="AE13" i="21"/>
  <c r="R13" i="21" s="1"/>
  <c r="AD13" i="21"/>
  <c r="Q10" i="21"/>
  <c r="P10" i="21"/>
  <c r="AC21" i="21"/>
  <c r="AB21" i="21"/>
  <c r="AE21" i="21"/>
  <c r="R21" i="21" s="1"/>
  <c r="AD21" i="21"/>
  <c r="X22" i="21"/>
  <c r="V23" i="21"/>
  <c r="AE12" i="21"/>
  <c r="AD12" i="21"/>
  <c r="AC12" i="21"/>
  <c r="AB12" i="21"/>
  <c r="S12" i="21" s="1"/>
  <c r="P10" i="20"/>
  <c r="S11" i="20"/>
  <c r="Q20" i="20"/>
  <c r="P20" i="20"/>
  <c r="Q11" i="20"/>
  <c r="P11" i="20"/>
  <c r="AE13" i="20"/>
  <c r="S13" i="20" s="1"/>
  <c r="AD13" i="20"/>
  <c r="AC13" i="20"/>
  <c r="AB13" i="20"/>
  <c r="S20" i="20"/>
  <c r="AE21" i="20"/>
  <c r="AD21" i="20"/>
  <c r="AB21" i="20"/>
  <c r="AC21" i="20"/>
  <c r="Q19" i="20"/>
  <c r="P19" i="20"/>
  <c r="X22" i="20"/>
  <c r="V23" i="20"/>
  <c r="AD12" i="20"/>
  <c r="AC12" i="20"/>
  <c r="AB12" i="20"/>
  <c r="AE12" i="20"/>
  <c r="R12" i="20" s="1"/>
  <c r="R11" i="19"/>
  <c r="Q11" i="19" s="1"/>
  <c r="R20" i="19"/>
  <c r="P20" i="19" s="1"/>
  <c r="S11" i="19"/>
  <c r="P11" i="19"/>
  <c r="Q20" i="19"/>
  <c r="AB21" i="19"/>
  <c r="AD21" i="19"/>
  <c r="AE21" i="19"/>
  <c r="S21" i="19" s="1"/>
  <c r="AC21" i="19"/>
  <c r="S20" i="19"/>
  <c r="Q19" i="19"/>
  <c r="P19" i="19"/>
  <c r="X22" i="19"/>
  <c r="V23" i="19"/>
  <c r="AC12" i="19"/>
  <c r="AE12" i="19"/>
  <c r="S12" i="19" s="1"/>
  <c r="AD12" i="19"/>
  <c r="AB12" i="19"/>
  <c r="AC13" i="19"/>
  <c r="AE13" i="19"/>
  <c r="S13" i="19" s="1"/>
  <c r="AD13" i="19"/>
  <c r="AB13" i="19"/>
  <c r="Q20" i="18"/>
  <c r="P20" i="18"/>
  <c r="Q11" i="18"/>
  <c r="P11" i="18"/>
  <c r="S20" i="18"/>
  <c r="AE12" i="18"/>
  <c r="AD12" i="18"/>
  <c r="AB12" i="18"/>
  <c r="AC12" i="18"/>
  <c r="S11" i="18"/>
  <c r="AC21" i="18"/>
  <c r="AE21" i="18"/>
  <c r="R21" i="18" s="1"/>
  <c r="AB21" i="18"/>
  <c r="AD21" i="18"/>
  <c r="X22" i="18"/>
  <c r="V23" i="18"/>
  <c r="AC13" i="18"/>
  <c r="AE13" i="18"/>
  <c r="R13" i="18" s="1"/>
  <c r="AB13" i="18"/>
  <c r="AD13" i="18"/>
  <c r="P10" i="17"/>
  <c r="R11" i="17"/>
  <c r="P11" i="17" s="1"/>
  <c r="S20" i="17"/>
  <c r="Q11" i="17"/>
  <c r="R20" i="17"/>
  <c r="S11" i="17"/>
  <c r="AE21" i="17"/>
  <c r="AB21" i="17"/>
  <c r="AC21" i="17"/>
  <c r="AD21" i="17"/>
  <c r="AE12" i="17"/>
  <c r="AB12" i="17"/>
  <c r="AD12" i="17"/>
  <c r="AC12" i="17"/>
  <c r="X22" i="17"/>
  <c r="V23" i="17"/>
  <c r="AB13" i="17"/>
  <c r="AD13" i="17"/>
  <c r="AE13" i="17"/>
  <c r="R13" i="17" s="1"/>
  <c r="AC13" i="17"/>
  <c r="G22" i="13"/>
  <c r="G22" i="16"/>
  <c r="P18" i="2"/>
  <c r="AI8" i="1"/>
  <c r="AI7" i="1"/>
  <c r="AL16" i="1"/>
  <c r="AJ14" i="1"/>
  <c r="Q12" i="2"/>
  <c r="R12" i="2" s="1"/>
  <c r="AW8" i="2"/>
  <c r="BA120" i="2"/>
  <c r="BA108" i="2"/>
  <c r="AY108" i="2" s="1"/>
  <c r="BA92" i="2"/>
  <c r="BA84" i="2"/>
  <c r="AY84" i="2" s="1"/>
  <c r="AW64" i="2"/>
  <c r="BA119" i="2"/>
  <c r="AW119" i="2" s="1"/>
  <c r="BA107" i="2"/>
  <c r="AY107" i="2" s="1"/>
  <c r="BA95" i="2"/>
  <c r="BA83" i="2"/>
  <c r="AY83" i="2" s="1"/>
  <c r="BA112" i="2"/>
  <c r="BA96" i="2"/>
  <c r="AY96" i="2" s="1"/>
  <c r="BA80" i="2"/>
  <c r="BA115" i="2"/>
  <c r="AY115" i="2" s="1"/>
  <c r="BA103" i="2"/>
  <c r="AW103" i="2" s="1"/>
  <c r="BA91" i="2"/>
  <c r="AY91" i="2" s="1"/>
  <c r="BA79" i="2"/>
  <c r="BA71" i="2"/>
  <c r="AY71" i="2" s="1"/>
  <c r="AW6" i="2"/>
  <c r="AX68" i="2"/>
  <c r="BA122" i="2"/>
  <c r="AW122" i="2" s="1"/>
  <c r="BA118" i="2"/>
  <c r="BA114" i="2"/>
  <c r="BA110" i="2"/>
  <c r="AW110" i="2" s="1"/>
  <c r="BA106" i="2"/>
  <c r="AW106" i="2" s="1"/>
  <c r="BA102" i="2"/>
  <c r="BA98" i="2"/>
  <c r="BA94" i="2"/>
  <c r="BA90" i="2"/>
  <c r="BA86" i="2"/>
  <c r="AY86" i="2" s="1"/>
  <c r="BA82" i="2"/>
  <c r="BA78" i="2"/>
  <c r="BA74" i="2"/>
  <c r="BA70" i="2"/>
  <c r="AY70" i="2" s="1"/>
  <c r="BA116" i="2"/>
  <c r="BA104" i="2"/>
  <c r="AY104" i="2" s="1"/>
  <c r="BA100" i="2"/>
  <c r="BA88" i="2"/>
  <c r="AY88" i="2" s="1"/>
  <c r="BA76" i="2"/>
  <c r="BA72" i="2"/>
  <c r="AY72" i="2" s="1"/>
  <c r="BA123" i="2"/>
  <c r="AW123" i="2" s="1"/>
  <c r="BA111" i="2"/>
  <c r="AY111" i="2" s="1"/>
  <c r="BA99" i="2"/>
  <c r="AW99" i="2" s="1"/>
  <c r="BA87" i="2"/>
  <c r="AW87" i="2" s="1"/>
  <c r="BA75" i="2"/>
  <c r="AW68" i="2"/>
  <c r="BA121" i="2"/>
  <c r="AW121" i="2" s="1"/>
  <c r="BA117" i="2"/>
  <c r="AY117" i="2" s="1"/>
  <c r="BA113" i="2"/>
  <c r="AW113" i="2" s="1"/>
  <c r="BA109" i="2"/>
  <c r="AY109" i="2" s="1"/>
  <c r="BA105" i="2"/>
  <c r="AW105" i="2" s="1"/>
  <c r="BA101" i="2"/>
  <c r="BA97" i="2"/>
  <c r="AW97" i="2" s="1"/>
  <c r="BA93" i="2"/>
  <c r="BA89" i="2"/>
  <c r="AW89" i="2" s="1"/>
  <c r="BA85" i="2"/>
  <c r="AW85" i="2" s="1"/>
  <c r="BA81" i="2"/>
  <c r="BA77" i="2"/>
  <c r="BA73" i="2"/>
  <c r="BA69" i="2"/>
  <c r="AY8" i="2"/>
  <c r="AW114" i="2"/>
  <c r="AY68" i="2"/>
  <c r="AY63" i="2"/>
  <c r="AY59" i="2"/>
  <c r="AY55" i="2"/>
  <c r="AY51" i="2"/>
  <c r="AY47" i="2"/>
  <c r="AX43" i="2"/>
  <c r="AY39" i="2"/>
  <c r="AY35" i="2"/>
  <c r="AY31" i="2"/>
  <c r="AY27" i="2"/>
  <c r="AX23" i="2"/>
  <c r="AY19" i="2"/>
  <c r="AY15" i="2"/>
  <c r="AY11" i="2"/>
  <c r="AY6" i="2"/>
  <c r="AY58" i="2"/>
  <c r="AY54" i="2"/>
  <c r="AY50" i="2"/>
  <c r="AY46" i="2"/>
  <c r="AY42" i="2"/>
  <c r="AY38" i="2"/>
  <c r="AY34" i="2"/>
  <c r="AY30" i="2"/>
  <c r="AY26" i="2"/>
  <c r="AY22" i="2"/>
  <c r="AY14" i="2"/>
  <c r="AY10" i="2"/>
  <c r="AY5" i="2"/>
  <c r="AY61" i="2"/>
  <c r="AY57" i="2"/>
  <c r="AY53" i="2"/>
  <c r="AY49" i="2"/>
  <c r="AY45" i="2"/>
  <c r="AY41" i="2"/>
  <c r="AY33" i="2"/>
  <c r="AY29" i="2"/>
  <c r="AY25" i="2"/>
  <c r="AY21" i="2"/>
  <c r="AY17" i="2"/>
  <c r="AY13" i="2"/>
  <c r="AY9" i="2"/>
  <c r="AY4" i="2"/>
  <c r="AY60" i="2"/>
  <c r="AY56" i="2"/>
  <c r="AY52" i="2"/>
  <c r="AY48" i="2"/>
  <c r="AX64" i="2"/>
  <c r="AY64" i="2"/>
  <c r="AX66" i="2"/>
  <c r="AY66" i="2"/>
  <c r="AW83" i="2"/>
  <c r="R12" i="21" l="1"/>
  <c r="P13" i="21"/>
  <c r="Q13" i="21"/>
  <c r="Q21" i="21"/>
  <c r="P21" i="21"/>
  <c r="Q12" i="21"/>
  <c r="P12" i="21"/>
  <c r="S13" i="21"/>
  <c r="Q11" i="21"/>
  <c r="P11" i="21"/>
  <c r="AE22" i="21"/>
  <c r="AD22" i="21"/>
  <c r="AC22" i="21"/>
  <c r="AB22" i="21"/>
  <c r="S21" i="21"/>
  <c r="X23" i="21"/>
  <c r="V24" i="21"/>
  <c r="X24" i="21" s="1"/>
  <c r="R21" i="20"/>
  <c r="Q21" i="20" s="1"/>
  <c r="S12" i="20"/>
  <c r="R13" i="20"/>
  <c r="Q13" i="20" s="1"/>
  <c r="P13" i="20"/>
  <c r="P21" i="20"/>
  <c r="P12" i="20"/>
  <c r="Q12" i="20"/>
  <c r="AC22" i="20"/>
  <c r="AB22" i="20"/>
  <c r="AE22" i="20"/>
  <c r="AD22" i="20"/>
  <c r="S21" i="20"/>
  <c r="X23" i="20"/>
  <c r="V24" i="20"/>
  <c r="X24" i="20" s="1"/>
  <c r="R13" i="19"/>
  <c r="R12" i="19"/>
  <c r="X23" i="19"/>
  <c r="V24" i="19"/>
  <c r="X24" i="19" s="1"/>
  <c r="AB22" i="19"/>
  <c r="AD22" i="19"/>
  <c r="AE22" i="19"/>
  <c r="AC22" i="19"/>
  <c r="R21" i="19"/>
  <c r="S13" i="18"/>
  <c r="S12" i="18"/>
  <c r="S21" i="18"/>
  <c r="R12" i="18"/>
  <c r="P12" i="18" s="1"/>
  <c r="Q21" i="18"/>
  <c r="P21" i="18"/>
  <c r="Q13" i="18"/>
  <c r="P13" i="18"/>
  <c r="X23" i="18"/>
  <c r="V24" i="18"/>
  <c r="X24" i="18" s="1"/>
  <c r="AB22" i="18"/>
  <c r="AE22" i="18"/>
  <c r="AD22" i="18"/>
  <c r="AC22" i="18"/>
  <c r="Q12" i="18"/>
  <c r="R21" i="17"/>
  <c r="P21" i="17" s="1"/>
  <c r="S12" i="17"/>
  <c r="Q13" i="17"/>
  <c r="P13" i="17"/>
  <c r="Q21" i="17"/>
  <c r="S13" i="17"/>
  <c r="R12" i="17"/>
  <c r="Q20" i="17"/>
  <c r="P20" i="17"/>
  <c r="X23" i="17"/>
  <c r="V24" i="17"/>
  <c r="X24" i="17" s="1"/>
  <c r="S21" i="17"/>
  <c r="AE22" i="17"/>
  <c r="AD22" i="17"/>
  <c r="AC22" i="17"/>
  <c r="AB22" i="17"/>
  <c r="Z23" i="16"/>
  <c r="AA23" i="16" s="1"/>
  <c r="Z21" i="16"/>
  <c r="AA21" i="16" s="1"/>
  <c r="W20" i="16"/>
  <c r="W17" i="16"/>
  <c r="W14" i="16"/>
  <c r="Z12" i="16"/>
  <c r="AA12" i="16" s="1"/>
  <c r="Z10" i="16"/>
  <c r="AA10" i="16" s="1"/>
  <c r="Z8" i="16"/>
  <c r="AA8" i="16" s="1"/>
  <c r="Z6" i="16"/>
  <c r="AA6" i="16" s="1"/>
  <c r="Z4" i="16"/>
  <c r="AA4" i="16" s="1"/>
  <c r="W21" i="16"/>
  <c r="W19" i="16"/>
  <c r="Z16" i="16"/>
  <c r="AA16" i="16" s="1"/>
  <c r="Z14" i="16"/>
  <c r="AG36" i="16" s="1"/>
  <c r="W12" i="16"/>
  <c r="W10" i="16"/>
  <c r="W8" i="16"/>
  <c r="W6" i="16"/>
  <c r="W4" i="16"/>
  <c r="V4" i="16" s="1"/>
  <c r="W23" i="16"/>
  <c r="W22" i="16"/>
  <c r="Z18" i="16"/>
  <c r="AA18" i="16" s="1"/>
  <c r="W16" i="16"/>
  <c r="Z13" i="16"/>
  <c r="AA13" i="16" s="1"/>
  <c r="Z11" i="16"/>
  <c r="AA11" i="16" s="1"/>
  <c r="Z9" i="16"/>
  <c r="AA9" i="16" s="1"/>
  <c r="Z7" i="16"/>
  <c r="AA7" i="16" s="1"/>
  <c r="Z5" i="16"/>
  <c r="AA5" i="16" s="1"/>
  <c r="Z25" i="16"/>
  <c r="AG45" i="16" s="1"/>
  <c r="Z20" i="16"/>
  <c r="AA20" i="16" s="1"/>
  <c r="W18" i="16"/>
  <c r="W15" i="16"/>
  <c r="W13" i="16"/>
  <c r="W11" i="16"/>
  <c r="W9" i="16"/>
  <c r="W7" i="16"/>
  <c r="W5" i="16"/>
  <c r="Z17" i="16"/>
  <c r="AA17" i="16" s="1"/>
  <c r="W24" i="16"/>
  <c r="Z15" i="16"/>
  <c r="AA15" i="16" s="1"/>
  <c r="Z24" i="16"/>
  <c r="AA24" i="16" s="1"/>
  <c r="Z19" i="16"/>
  <c r="AA19" i="16" s="1"/>
  <c r="Z22" i="16"/>
  <c r="AA22" i="16" s="1"/>
  <c r="G25" i="16"/>
  <c r="Z24" i="13"/>
  <c r="W17" i="13"/>
  <c r="W19" i="13"/>
  <c r="Z15" i="13"/>
  <c r="AA15" i="13" s="1"/>
  <c r="Z22" i="13"/>
  <c r="W24" i="13"/>
  <c r="Z20" i="13"/>
  <c r="Z21" i="13"/>
  <c r="W15" i="13"/>
  <c r="W22" i="13"/>
  <c r="Z18" i="13"/>
  <c r="W23" i="13"/>
  <c r="W20" i="13"/>
  <c r="Z16" i="13"/>
  <c r="Z17" i="13"/>
  <c r="Z23" i="13"/>
  <c r="AA23" i="13" s="1"/>
  <c r="W18" i="13"/>
  <c r="W16" i="13"/>
  <c r="W21" i="13"/>
  <c r="Z19" i="13"/>
  <c r="AA19" i="13" s="1"/>
  <c r="W14" i="13"/>
  <c r="Z14" i="13"/>
  <c r="Z25" i="13"/>
  <c r="G25" i="13"/>
  <c r="X25" i="13" s="1"/>
  <c r="W4" i="13"/>
  <c r="V4" i="13" s="1"/>
  <c r="AA20" i="13"/>
  <c r="AA18" i="13"/>
  <c r="Z12" i="13"/>
  <c r="AA12" i="13" s="1"/>
  <c r="W11" i="13"/>
  <c r="W9" i="13"/>
  <c r="W7" i="13"/>
  <c r="W5" i="13"/>
  <c r="AA16" i="13"/>
  <c r="AG36" i="13"/>
  <c r="W12" i="13"/>
  <c r="Z10" i="13"/>
  <c r="AA10" i="13" s="1"/>
  <c r="Z8" i="13"/>
  <c r="AA8" i="13" s="1"/>
  <c r="Z6" i="13"/>
  <c r="AA6" i="13" s="1"/>
  <c r="Z4" i="13"/>
  <c r="AA4" i="13" s="1"/>
  <c r="Z7" i="13"/>
  <c r="AA7" i="13" s="1"/>
  <c r="AA21" i="13"/>
  <c r="AA17" i="13"/>
  <c r="Z13" i="13"/>
  <c r="AA13" i="13" s="1"/>
  <c r="W10" i="13"/>
  <c r="W8" i="13"/>
  <c r="W6" i="13"/>
  <c r="Z5" i="13"/>
  <c r="AA5" i="13" s="1"/>
  <c r="W13" i="13"/>
  <c r="Z11" i="13"/>
  <c r="AA11" i="13" s="1"/>
  <c r="Z9" i="13"/>
  <c r="AA9" i="13" s="1"/>
  <c r="AG45" i="13"/>
  <c r="AA22" i="13"/>
  <c r="AA24" i="13"/>
  <c r="AW107" i="2"/>
  <c r="O9" i="2"/>
  <c r="Q9" i="2" s="1"/>
  <c r="R9" i="2" s="1"/>
  <c r="O11" i="2"/>
  <c r="Q11" i="2" s="1"/>
  <c r="R11" i="2" s="1"/>
  <c r="O8" i="2"/>
  <c r="Q8" i="2" s="1"/>
  <c r="R8" i="2" s="1"/>
  <c r="O10" i="2"/>
  <c r="Q10" i="2" s="1"/>
  <c r="R10" i="2" s="1"/>
  <c r="AY93" i="2"/>
  <c r="Q18" i="2"/>
  <c r="R18" i="2" s="1"/>
  <c r="V16" i="2" s="1"/>
  <c r="AW115" i="2"/>
  <c r="O7" i="2"/>
  <c r="Q7" i="2" s="1"/>
  <c r="R7" i="2" s="1"/>
  <c r="O6" i="2"/>
  <c r="Q6" i="2" s="1"/>
  <c r="R6" i="2" s="1"/>
  <c r="AW91" i="2"/>
  <c r="AY69" i="2"/>
  <c r="AW111" i="2"/>
  <c r="AY87" i="2"/>
  <c r="AX77" i="2"/>
  <c r="AW77" i="2"/>
  <c r="AX101" i="2"/>
  <c r="AX78" i="2"/>
  <c r="AW78" i="2"/>
  <c r="AW94" i="2"/>
  <c r="AX94" i="2"/>
  <c r="AW102" i="2"/>
  <c r="AX102" i="2"/>
  <c r="AX110" i="2"/>
  <c r="AX118" i="2"/>
  <c r="AW109" i="2"/>
  <c r="AW118" i="2"/>
  <c r="AY77" i="2"/>
  <c r="AY85" i="2"/>
  <c r="AY101" i="2"/>
  <c r="AX75" i="2"/>
  <c r="AW75" i="2"/>
  <c r="AX99" i="2"/>
  <c r="AX123" i="2"/>
  <c r="AW76" i="2"/>
  <c r="AX76" i="2"/>
  <c r="AX100" i="2"/>
  <c r="AW100" i="2"/>
  <c r="AX116" i="2"/>
  <c r="AW116" i="2"/>
  <c r="AY78" i="2"/>
  <c r="AY94" i="2"/>
  <c r="AY102" i="2"/>
  <c r="AY110" i="2"/>
  <c r="AY118" i="2"/>
  <c r="AX79" i="2"/>
  <c r="AW79" i="2"/>
  <c r="AX103" i="2"/>
  <c r="AW80" i="2"/>
  <c r="AX80" i="2"/>
  <c r="AX112" i="2"/>
  <c r="AW112" i="2"/>
  <c r="AX95" i="2"/>
  <c r="AW95" i="2"/>
  <c r="AX119" i="2"/>
  <c r="AW69" i="2"/>
  <c r="AX69" i="2"/>
  <c r="AW93" i="2"/>
  <c r="AX93" i="2"/>
  <c r="AX117" i="2"/>
  <c r="AW86" i="2"/>
  <c r="AX86" i="2"/>
  <c r="AX84" i="2"/>
  <c r="AW84" i="2"/>
  <c r="AW73" i="2"/>
  <c r="AX73" i="2"/>
  <c r="AW81" i="2"/>
  <c r="AX81" i="2"/>
  <c r="AX89" i="2"/>
  <c r="AX97" i="2"/>
  <c r="AX105" i="2"/>
  <c r="AX113" i="2"/>
  <c r="AX121" i="2"/>
  <c r="AY75" i="2"/>
  <c r="AY99" i="2"/>
  <c r="AY123" i="2"/>
  <c r="AY76" i="2"/>
  <c r="AY100" i="2"/>
  <c r="AY116" i="2"/>
  <c r="AW74" i="2"/>
  <c r="AX74" i="2"/>
  <c r="AW82" i="2"/>
  <c r="AX82" i="2"/>
  <c r="AW90" i="2"/>
  <c r="AX90" i="2"/>
  <c r="AW98" i="2"/>
  <c r="AX98" i="2"/>
  <c r="AX106" i="2"/>
  <c r="AX114" i="2"/>
  <c r="AX122" i="2"/>
  <c r="AY79" i="2"/>
  <c r="AY103" i="2"/>
  <c r="AY80" i="2"/>
  <c r="AY112" i="2"/>
  <c r="AY95" i="2"/>
  <c r="AY119" i="2"/>
  <c r="AX92" i="2"/>
  <c r="AW92" i="2"/>
  <c r="AX120" i="2"/>
  <c r="AW120" i="2"/>
  <c r="AX85" i="2"/>
  <c r="AX109" i="2"/>
  <c r="AW70" i="2"/>
  <c r="AX70" i="2"/>
  <c r="AW108" i="2"/>
  <c r="AX108" i="2"/>
  <c r="AW101" i="2"/>
  <c r="AW117" i="2"/>
  <c r="AY73" i="2"/>
  <c r="AY81" i="2"/>
  <c r="AY89" i="2"/>
  <c r="AY97" i="2"/>
  <c r="AY105" i="2"/>
  <c r="AY113" i="2"/>
  <c r="AY121" i="2"/>
  <c r="AX87" i="2"/>
  <c r="AX111" i="2"/>
  <c r="AW72" i="2"/>
  <c r="AX72" i="2"/>
  <c r="AX88" i="2"/>
  <c r="AW88" i="2"/>
  <c r="AW104" i="2"/>
  <c r="AX104" i="2"/>
  <c r="AY74" i="2"/>
  <c r="AY82" i="2"/>
  <c r="AY90" i="2"/>
  <c r="AY98" i="2"/>
  <c r="AY106" i="2"/>
  <c r="AY114" i="2"/>
  <c r="AY122" i="2"/>
  <c r="AX71" i="2"/>
  <c r="AW71" i="2"/>
  <c r="AX91" i="2"/>
  <c r="AX115" i="2"/>
  <c r="AX96" i="2"/>
  <c r="AW96" i="2"/>
  <c r="AX83" i="2"/>
  <c r="AX107" i="2"/>
  <c r="AY92" i="2"/>
  <c r="AY120" i="2"/>
  <c r="AW43" i="2"/>
  <c r="AW23" i="2"/>
  <c r="AY37" i="2"/>
  <c r="AY23" i="2"/>
  <c r="AY65" i="2"/>
  <c r="AY62" i="2"/>
  <c r="AY43" i="2"/>
  <c r="AY67" i="2"/>
  <c r="AX7" i="2"/>
  <c r="AW7" i="2"/>
  <c r="AX16" i="2"/>
  <c r="AW16" i="2"/>
  <c r="AX24" i="2"/>
  <c r="AW24" i="2"/>
  <c r="AX32" i="2"/>
  <c r="AW32" i="2"/>
  <c r="AX40" i="2"/>
  <c r="AW40" i="2"/>
  <c r="AX48" i="2"/>
  <c r="AW48" i="2"/>
  <c r="AX56" i="2"/>
  <c r="AW56" i="2"/>
  <c r="AX4" i="2"/>
  <c r="AW4" i="2"/>
  <c r="AW13" i="2"/>
  <c r="AX13" i="2"/>
  <c r="AX21" i="2"/>
  <c r="AW21" i="2"/>
  <c r="AX29" i="2"/>
  <c r="AW29" i="2"/>
  <c r="AX37" i="2"/>
  <c r="AW37" i="2"/>
  <c r="AW45" i="2"/>
  <c r="AX45" i="2"/>
  <c r="AW53" i="2"/>
  <c r="AX53" i="2"/>
  <c r="AW61" i="2"/>
  <c r="AX61" i="2"/>
  <c r="AX5" i="2"/>
  <c r="AW5" i="2"/>
  <c r="AW14" i="2"/>
  <c r="AX14" i="2"/>
  <c r="AX26" i="2"/>
  <c r="AW26" i="2"/>
  <c r="AX34" i="2"/>
  <c r="AW34" i="2"/>
  <c r="AX42" i="2"/>
  <c r="AW42" i="2"/>
  <c r="AW50" i="2"/>
  <c r="AX50" i="2"/>
  <c r="AW58" i="2"/>
  <c r="AX58" i="2"/>
  <c r="AX6" i="2"/>
  <c r="AW15" i="2"/>
  <c r="AX15" i="2"/>
  <c r="AW31" i="2"/>
  <c r="AX31" i="2"/>
  <c r="AX39" i="2"/>
  <c r="AW39" i="2"/>
  <c r="AW47" i="2"/>
  <c r="AX47" i="2"/>
  <c r="AW55" i="2"/>
  <c r="AX55" i="2"/>
  <c r="AW63" i="2"/>
  <c r="AX63" i="2"/>
  <c r="AY7" i="2"/>
  <c r="AY16" i="2"/>
  <c r="AY24" i="2"/>
  <c r="AY32" i="2"/>
  <c r="AY40" i="2"/>
  <c r="AX12" i="2"/>
  <c r="AW12" i="2"/>
  <c r="AX20" i="2"/>
  <c r="AW20" i="2"/>
  <c r="AX28" i="2"/>
  <c r="AW28" i="2"/>
  <c r="AX36" i="2"/>
  <c r="AW36" i="2"/>
  <c r="AX44" i="2"/>
  <c r="AW44" i="2"/>
  <c r="AX52" i="2"/>
  <c r="AW52" i="2"/>
  <c r="AX60" i="2"/>
  <c r="AW60" i="2"/>
  <c r="AW9" i="2"/>
  <c r="AX9" i="2"/>
  <c r="AX17" i="2"/>
  <c r="AW17" i="2"/>
  <c r="AX25" i="2"/>
  <c r="AW25" i="2"/>
  <c r="AX33" i="2"/>
  <c r="AW33" i="2"/>
  <c r="AX41" i="2"/>
  <c r="AW41" i="2"/>
  <c r="AW49" i="2"/>
  <c r="AX49" i="2"/>
  <c r="AW57" i="2"/>
  <c r="AX57" i="2"/>
  <c r="AX65" i="2"/>
  <c r="AW65" i="2"/>
  <c r="AW10" i="2"/>
  <c r="AX10" i="2"/>
  <c r="AW22" i="2"/>
  <c r="AX22" i="2"/>
  <c r="AX30" i="2"/>
  <c r="AW30" i="2"/>
  <c r="AX38" i="2"/>
  <c r="AW38" i="2"/>
  <c r="AW46" i="2"/>
  <c r="AX46" i="2"/>
  <c r="AW54" i="2"/>
  <c r="AX54" i="2"/>
  <c r="AW62" i="2"/>
  <c r="AX62" i="2"/>
  <c r="AW11" i="2"/>
  <c r="AX11" i="2"/>
  <c r="AW19" i="2"/>
  <c r="AX19" i="2"/>
  <c r="AW27" i="2"/>
  <c r="AX27" i="2"/>
  <c r="AX35" i="2"/>
  <c r="AW35" i="2"/>
  <c r="AW51" i="2"/>
  <c r="AX51" i="2"/>
  <c r="AW59" i="2"/>
  <c r="AX59" i="2"/>
  <c r="AX67" i="2"/>
  <c r="AW67" i="2"/>
  <c r="AY12" i="2"/>
  <c r="AY20" i="2"/>
  <c r="AY28" i="2"/>
  <c r="AY36" i="2"/>
  <c r="AY44" i="2"/>
  <c r="AV1" i="9"/>
  <c r="AV7" i="9" s="1"/>
  <c r="S22" i="21" l="1"/>
  <c r="R22" i="21"/>
  <c r="AC24" i="21"/>
  <c r="AB24" i="21"/>
  <c r="AE24" i="21"/>
  <c r="AD24" i="21"/>
  <c r="AE23" i="21"/>
  <c r="AD23" i="21"/>
  <c r="AC23" i="21"/>
  <c r="AB23" i="21"/>
  <c r="R23" i="21" s="1"/>
  <c r="S22" i="20"/>
  <c r="R22" i="20"/>
  <c r="AE24" i="20"/>
  <c r="S24" i="20" s="1"/>
  <c r="AD24" i="20"/>
  <c r="AC24" i="20"/>
  <c r="AB24" i="20"/>
  <c r="AB23" i="20"/>
  <c r="AD23" i="20"/>
  <c r="AC23" i="20"/>
  <c r="AE23" i="20"/>
  <c r="S22" i="19"/>
  <c r="R22" i="19"/>
  <c r="AE24" i="19"/>
  <c r="AD24" i="19"/>
  <c r="AC24" i="19"/>
  <c r="AB24" i="19"/>
  <c r="Q21" i="19"/>
  <c r="P21" i="19"/>
  <c r="AE23" i="19"/>
  <c r="R23" i="19" s="1"/>
  <c r="AD23" i="19"/>
  <c r="AC23" i="19"/>
  <c r="AB23" i="19"/>
  <c r="Q22" i="19"/>
  <c r="P22" i="19"/>
  <c r="Q12" i="19"/>
  <c r="P12" i="19"/>
  <c r="Q13" i="19"/>
  <c r="P13" i="19"/>
  <c r="S22" i="18"/>
  <c r="R22" i="18"/>
  <c r="Q22" i="18" s="1"/>
  <c r="AE24" i="18"/>
  <c r="AD24" i="18"/>
  <c r="AC24" i="18"/>
  <c r="AB24" i="18"/>
  <c r="AE23" i="18"/>
  <c r="AD23" i="18"/>
  <c r="AC23" i="18"/>
  <c r="AB23" i="18"/>
  <c r="R22" i="17"/>
  <c r="P22" i="17" s="1"/>
  <c r="S22" i="17"/>
  <c r="AC24" i="17"/>
  <c r="AB24" i="17"/>
  <c r="AE24" i="17"/>
  <c r="AD24" i="17"/>
  <c r="Q12" i="17"/>
  <c r="P12" i="17"/>
  <c r="AC23" i="17"/>
  <c r="AB23" i="17"/>
  <c r="AE23" i="17"/>
  <c r="AD23" i="17"/>
  <c r="AA14" i="13"/>
  <c r="V14" i="16"/>
  <c r="X14" i="16" s="1"/>
  <c r="X25" i="16"/>
  <c r="V15" i="16"/>
  <c r="AA14" i="16"/>
  <c r="D22" i="16"/>
  <c r="G24" i="16" s="1"/>
  <c r="V5" i="16"/>
  <c r="X4" i="16"/>
  <c r="AD4" i="16" s="1"/>
  <c r="AG37" i="16"/>
  <c r="AE4" i="16"/>
  <c r="AB4" i="16"/>
  <c r="S4" i="16" s="1"/>
  <c r="AA25" i="16"/>
  <c r="AG46" i="16"/>
  <c r="AG46" i="13"/>
  <c r="AA25" i="13"/>
  <c r="V5" i="13"/>
  <c r="X4" i="13"/>
  <c r="V15" i="13"/>
  <c r="X15" i="13" s="1"/>
  <c r="V14" i="13"/>
  <c r="X14" i="13" s="1"/>
  <c r="AG37" i="13"/>
  <c r="V21" i="2"/>
  <c r="D27" i="16" s="1"/>
  <c r="V19" i="2"/>
  <c r="D25" i="16" s="1"/>
  <c r="V22" i="2"/>
  <c r="D28" i="16" s="1"/>
  <c r="V20" i="2"/>
  <c r="D26" i="16" s="1"/>
  <c r="V18" i="2"/>
  <c r="D24" i="16" s="1"/>
  <c r="V17" i="2"/>
  <c r="D23" i="16" s="1"/>
  <c r="AV8" i="9"/>
  <c r="AV4" i="9"/>
  <c r="AV5" i="9"/>
  <c r="AV9" i="9"/>
  <c r="S23" i="21" l="1"/>
  <c r="S24" i="21"/>
  <c r="R24" i="21"/>
  <c r="Q23" i="21"/>
  <c r="P23" i="21"/>
  <c r="Q22" i="21"/>
  <c r="P22" i="21"/>
  <c r="S23" i="20"/>
  <c r="R24" i="20"/>
  <c r="Q24" i="20" s="1"/>
  <c r="P24" i="20"/>
  <c r="R23" i="20"/>
  <c r="Q22" i="20"/>
  <c r="P22" i="20"/>
  <c r="S24" i="19"/>
  <c r="Q23" i="19"/>
  <c r="P23" i="19"/>
  <c r="S23" i="19"/>
  <c r="R24" i="19"/>
  <c r="S23" i="18"/>
  <c r="R23" i="18"/>
  <c r="P23" i="18" s="1"/>
  <c r="S24" i="18"/>
  <c r="P22" i="18"/>
  <c r="R24" i="18"/>
  <c r="Q23" i="18"/>
  <c r="S23" i="17"/>
  <c r="R24" i="17"/>
  <c r="Q24" i="17" s="1"/>
  <c r="R23" i="17"/>
  <c r="Q23" i="17" s="1"/>
  <c r="Q22" i="17"/>
  <c r="S24" i="17"/>
  <c r="P23" i="17"/>
  <c r="P24" i="17"/>
  <c r="AE14" i="16"/>
  <c r="R4" i="16"/>
  <c r="AD14" i="16"/>
  <c r="AC14" i="16"/>
  <c r="AB14" i="16"/>
  <c r="AD25" i="16"/>
  <c r="AC25" i="16"/>
  <c r="AB25" i="16"/>
  <c r="R25" i="16" s="1"/>
  <c r="AE25" i="16"/>
  <c r="AC4" i="16"/>
  <c r="V6" i="16"/>
  <c r="X5" i="16"/>
  <c r="V16" i="16"/>
  <c r="X15" i="16"/>
  <c r="AE25" i="13"/>
  <c r="AB25" i="13"/>
  <c r="AE14" i="13"/>
  <c r="AE4" i="13"/>
  <c r="AB4" i="13"/>
  <c r="AB14" i="13"/>
  <c r="D28" i="13"/>
  <c r="D23" i="13"/>
  <c r="G24" i="13" s="1"/>
  <c r="D25" i="13"/>
  <c r="D26" i="13"/>
  <c r="D24" i="13"/>
  <c r="D27" i="13"/>
  <c r="AE15" i="13"/>
  <c r="V16" i="13"/>
  <c r="X16" i="13" s="1"/>
  <c r="V6" i="13"/>
  <c r="X5" i="13"/>
  <c r="AY13" i="9"/>
  <c r="AY14" i="9" s="1"/>
  <c r="AT13" i="9"/>
  <c r="AT14" i="9" s="1"/>
  <c r="AZ13" i="9"/>
  <c r="AZ14" i="9" s="1"/>
  <c r="AU13" i="9"/>
  <c r="AU14" i="9" s="1"/>
  <c r="AW13" i="9"/>
  <c r="AW14" i="9" s="1"/>
  <c r="BA13" i="9"/>
  <c r="BA14" i="9" s="1"/>
  <c r="AX13" i="9"/>
  <c r="AX14" i="9" s="1"/>
  <c r="Q24" i="21" l="1"/>
  <c r="P24" i="21"/>
  <c r="Q23" i="20"/>
  <c r="P23" i="20"/>
  <c r="Q24" i="19"/>
  <c r="P24" i="19"/>
  <c r="Q24" i="18"/>
  <c r="P24" i="18"/>
  <c r="S14" i="16"/>
  <c r="X51" i="16"/>
  <c r="X46" i="16"/>
  <c r="X47" i="16"/>
  <c r="X49" i="16"/>
  <c r="X45" i="16"/>
  <c r="X50" i="16"/>
  <c r="X48" i="16"/>
  <c r="X52" i="16"/>
  <c r="X53" i="16"/>
  <c r="AA36" i="16"/>
  <c r="AA37" i="16"/>
  <c r="AA39" i="16"/>
  <c r="AA38" i="16"/>
  <c r="AA42" i="16"/>
  <c r="AA43" i="16"/>
  <c r="AA40" i="16"/>
  <c r="AA44" i="16"/>
  <c r="AA41" i="16"/>
  <c r="X6" i="16"/>
  <c r="V7" i="16"/>
  <c r="AC15" i="16"/>
  <c r="AB15" i="16"/>
  <c r="AE15" i="16"/>
  <c r="S15" i="16" s="1"/>
  <c r="AD15" i="16"/>
  <c r="P4" i="16"/>
  <c r="Q4" i="16"/>
  <c r="V17" i="16"/>
  <c r="X16" i="16"/>
  <c r="S25" i="16"/>
  <c r="R14" i="16"/>
  <c r="AD5" i="16"/>
  <c r="AB5" i="16"/>
  <c r="AE5" i="16"/>
  <c r="S5" i="16" s="1"/>
  <c r="AC5" i="16"/>
  <c r="S14" i="13"/>
  <c r="AA38" i="13" s="1"/>
  <c r="R4" i="13"/>
  <c r="R25" i="13"/>
  <c r="AD5" i="13"/>
  <c r="AD25" i="13"/>
  <c r="AC5" i="13"/>
  <c r="AC25" i="13"/>
  <c r="AD14" i="13"/>
  <c r="AC14" i="13"/>
  <c r="AD15" i="13"/>
  <c r="AC15" i="13"/>
  <c r="AD4" i="13"/>
  <c r="AC4" i="13"/>
  <c r="S25" i="13"/>
  <c r="S4" i="13"/>
  <c r="AB5" i="13"/>
  <c r="AB15" i="13"/>
  <c r="R15" i="13" s="1"/>
  <c r="R14" i="13"/>
  <c r="AE5" i="13"/>
  <c r="AE16" i="13"/>
  <c r="V17" i="13"/>
  <c r="X17" i="13" s="1"/>
  <c r="V7" i="13"/>
  <c r="X6" i="13"/>
  <c r="AC6" i="13" s="1"/>
  <c r="X42" i="16" l="1"/>
  <c r="X43" i="16"/>
  <c r="X41" i="16"/>
  <c r="AC41" i="16" s="1"/>
  <c r="X44" i="16"/>
  <c r="X36" i="16"/>
  <c r="X39" i="16"/>
  <c r="X40" i="16"/>
  <c r="AC40" i="16" s="1"/>
  <c r="X38" i="16"/>
  <c r="X37" i="16"/>
  <c r="AD37" i="16" s="1"/>
  <c r="X7" i="16"/>
  <c r="V8" i="16"/>
  <c r="AE39" i="16"/>
  <c r="AD39" i="16"/>
  <c r="AC39" i="16"/>
  <c r="AB39" i="16"/>
  <c r="AA45" i="16"/>
  <c r="AA47" i="16"/>
  <c r="AB47" i="16" s="1"/>
  <c r="AA49" i="16"/>
  <c r="AA52" i="16"/>
  <c r="AA48" i="16"/>
  <c r="AA50" i="16"/>
  <c r="AA53" i="16"/>
  <c r="AA51" i="16"/>
  <c r="AA46" i="16"/>
  <c r="AE6" i="16"/>
  <c r="S6" i="16" s="1"/>
  <c r="AB6" i="16"/>
  <c r="AC6" i="16"/>
  <c r="AD6" i="16"/>
  <c r="AB43" i="16"/>
  <c r="AC43" i="16"/>
  <c r="AE43" i="16"/>
  <c r="AD43" i="16"/>
  <c r="AC37" i="16"/>
  <c r="AE37" i="16"/>
  <c r="R5" i="16"/>
  <c r="AB16" i="16"/>
  <c r="AE16" i="16"/>
  <c r="AC16" i="16"/>
  <c r="AD16" i="16"/>
  <c r="R15" i="16"/>
  <c r="AE41" i="16"/>
  <c r="AD42" i="16"/>
  <c r="AC42" i="16"/>
  <c r="AB42" i="16"/>
  <c r="AE42" i="16"/>
  <c r="AB36" i="16"/>
  <c r="AC36" i="16"/>
  <c r="AE36" i="16"/>
  <c r="AD36" i="16"/>
  <c r="X17" i="16"/>
  <c r="V18" i="16"/>
  <c r="AB44" i="16"/>
  <c r="AC44" i="16"/>
  <c r="AD44" i="16"/>
  <c r="AE44" i="16"/>
  <c r="AD38" i="16"/>
  <c r="AC38" i="16"/>
  <c r="AE38" i="16"/>
  <c r="AB38" i="16"/>
  <c r="AC45" i="16"/>
  <c r="Q15" i="13"/>
  <c r="P15" i="13"/>
  <c r="Q4" i="13"/>
  <c r="P4" i="13"/>
  <c r="AA39" i="13"/>
  <c r="AA36" i="13"/>
  <c r="AA44" i="13"/>
  <c r="AA41" i="13"/>
  <c r="AA43" i="13"/>
  <c r="AA42" i="13"/>
  <c r="AA37" i="13"/>
  <c r="AA40" i="13"/>
  <c r="S5" i="13"/>
  <c r="X37" i="13"/>
  <c r="X42" i="13"/>
  <c r="X44" i="13"/>
  <c r="X39" i="13"/>
  <c r="X41" i="13"/>
  <c r="X43" i="13"/>
  <c r="X38" i="13"/>
  <c r="AE38" i="13" s="1"/>
  <c r="X40" i="13"/>
  <c r="X36" i="13"/>
  <c r="AA48" i="13"/>
  <c r="AA52" i="13"/>
  <c r="AA49" i="13"/>
  <c r="AA53" i="13"/>
  <c r="AA46" i="13"/>
  <c r="AA50" i="13"/>
  <c r="AA45" i="13"/>
  <c r="AA47" i="13"/>
  <c r="AA51" i="13"/>
  <c r="AC16" i="13"/>
  <c r="AD6" i="13"/>
  <c r="X50" i="13"/>
  <c r="X52" i="13"/>
  <c r="X45" i="13"/>
  <c r="X48" i="13"/>
  <c r="X47" i="13"/>
  <c r="X49" i="13"/>
  <c r="X46" i="13"/>
  <c r="X51" i="13"/>
  <c r="X53" i="13"/>
  <c r="AD16" i="13"/>
  <c r="R5" i="13"/>
  <c r="AB6" i="13"/>
  <c r="S15" i="13"/>
  <c r="AB16" i="13"/>
  <c r="S16" i="13" s="1"/>
  <c r="AE6" i="13"/>
  <c r="X7" i="13"/>
  <c r="V8" i="13"/>
  <c r="V18" i="13"/>
  <c r="X18" i="13" s="1"/>
  <c r="AD41" i="16" l="1"/>
  <c r="AB41" i="16"/>
  <c r="AE40" i="16"/>
  <c r="R40" i="16" s="1"/>
  <c r="R16" i="16"/>
  <c r="Q16" i="16" s="1"/>
  <c r="AB40" i="16"/>
  <c r="P16" i="16"/>
  <c r="R44" i="16"/>
  <c r="V19" i="16"/>
  <c r="X18" i="16"/>
  <c r="S16" i="16"/>
  <c r="AB37" i="16"/>
  <c r="S37" i="16" s="1"/>
  <c r="AB46" i="16"/>
  <c r="AE46" i="16"/>
  <c r="AC46" i="16"/>
  <c r="AD46" i="16"/>
  <c r="AC48" i="16"/>
  <c r="AE48" i="16"/>
  <c r="AB48" i="16"/>
  <c r="AD48" i="16"/>
  <c r="AB45" i="16"/>
  <c r="AE45" i="16"/>
  <c r="AD45" i="16"/>
  <c r="S38" i="16"/>
  <c r="R38" i="16"/>
  <c r="S44" i="16"/>
  <c r="AD17" i="16"/>
  <c r="AC17" i="16"/>
  <c r="AB17" i="16"/>
  <c r="AE17" i="16"/>
  <c r="P5" i="16"/>
  <c r="Q5" i="16"/>
  <c r="AC51" i="16"/>
  <c r="AE51" i="16"/>
  <c r="AD51" i="16"/>
  <c r="AB51" i="16"/>
  <c r="AD52" i="16"/>
  <c r="AB52" i="16"/>
  <c r="AC52" i="16"/>
  <c r="AE52" i="16"/>
  <c r="X8" i="16"/>
  <c r="V9" i="16"/>
  <c r="S40" i="16"/>
  <c r="S41" i="16"/>
  <c r="R41" i="16"/>
  <c r="P15" i="16"/>
  <c r="Q15" i="16"/>
  <c r="R6" i="16"/>
  <c r="AD53" i="16"/>
  <c r="AC53" i="16"/>
  <c r="AB53" i="16"/>
  <c r="AE53" i="16"/>
  <c r="AC49" i="16"/>
  <c r="AD49" i="16"/>
  <c r="AB49" i="16"/>
  <c r="AE49" i="16"/>
  <c r="AD40" i="16"/>
  <c r="S7" i="16"/>
  <c r="AE7" i="16"/>
  <c r="AC7" i="16"/>
  <c r="AB7" i="16"/>
  <c r="AD7" i="16"/>
  <c r="R39" i="16"/>
  <c r="S39" i="16"/>
  <c r="R43" i="16"/>
  <c r="S43" i="16"/>
  <c r="AB50" i="16"/>
  <c r="AC50" i="16"/>
  <c r="AE50" i="16"/>
  <c r="AD50" i="16"/>
  <c r="AC47" i="16"/>
  <c r="AE47" i="16"/>
  <c r="AD47" i="16"/>
  <c r="R37" i="16"/>
  <c r="S36" i="16"/>
  <c r="R36" i="16"/>
  <c r="S42" i="16"/>
  <c r="R42" i="16"/>
  <c r="Q5" i="13"/>
  <c r="P5" i="13"/>
  <c r="AD38" i="13"/>
  <c r="AB37" i="13"/>
  <c r="AE37" i="13"/>
  <c r="AD37" i="13"/>
  <c r="AC37" i="13"/>
  <c r="AB44" i="13"/>
  <c r="AE44" i="13"/>
  <c r="AD44" i="13"/>
  <c r="AC44" i="13"/>
  <c r="AB39" i="13"/>
  <c r="AE39" i="13"/>
  <c r="AC39" i="13"/>
  <c r="AD39" i="13"/>
  <c r="AB40" i="13"/>
  <c r="AE40" i="13"/>
  <c r="AC40" i="13"/>
  <c r="AD40" i="13"/>
  <c r="AB42" i="13"/>
  <c r="AE42" i="13"/>
  <c r="AC42" i="13"/>
  <c r="AD42" i="13"/>
  <c r="AB36" i="13"/>
  <c r="AE36" i="13"/>
  <c r="AD36" i="13"/>
  <c r="AC36" i="13"/>
  <c r="AB41" i="13"/>
  <c r="AE41" i="13"/>
  <c r="AD41" i="13"/>
  <c r="AC41" i="13"/>
  <c r="AB43" i="13"/>
  <c r="AE43" i="13"/>
  <c r="AD43" i="13"/>
  <c r="AC43" i="13"/>
  <c r="AC38" i="13"/>
  <c r="AB38" i="13"/>
  <c r="R38" i="13" s="1"/>
  <c r="AB45" i="13"/>
  <c r="AC45" i="13"/>
  <c r="AD45" i="13"/>
  <c r="AE45" i="13"/>
  <c r="AB49" i="13"/>
  <c r="AC49" i="13"/>
  <c r="AD49" i="13"/>
  <c r="AE49" i="13"/>
  <c r="AB50" i="13"/>
  <c r="AC50" i="13"/>
  <c r="AD50" i="13"/>
  <c r="AE50" i="13"/>
  <c r="AB52" i="13"/>
  <c r="AC52" i="13"/>
  <c r="AD52" i="13"/>
  <c r="AE52" i="13"/>
  <c r="AB51" i="13"/>
  <c r="AC51" i="13"/>
  <c r="AD51" i="13"/>
  <c r="AE51" i="13"/>
  <c r="AB46" i="13"/>
  <c r="AC46" i="13"/>
  <c r="AD46" i="13"/>
  <c r="AE46" i="13"/>
  <c r="AB48" i="13"/>
  <c r="AC48" i="13"/>
  <c r="AD48" i="13"/>
  <c r="AE48" i="13"/>
  <c r="AB47" i="13"/>
  <c r="AC47" i="13"/>
  <c r="AD47" i="13"/>
  <c r="AE47" i="13"/>
  <c r="AB53" i="13"/>
  <c r="AC53" i="13"/>
  <c r="AD53" i="13"/>
  <c r="AE53" i="13"/>
  <c r="R6" i="13"/>
  <c r="AE17" i="13"/>
  <c r="AC17" i="13"/>
  <c r="AD17" i="13"/>
  <c r="S6" i="13"/>
  <c r="AC7" i="13"/>
  <c r="AD7" i="13"/>
  <c r="AB7" i="13"/>
  <c r="R16" i="13"/>
  <c r="AB17" i="13"/>
  <c r="AE7" i="13"/>
  <c r="V19" i="13"/>
  <c r="X19" i="13" s="1"/>
  <c r="V9" i="13"/>
  <c r="X8" i="13"/>
  <c r="R7" i="16" l="1"/>
  <c r="S17" i="16"/>
  <c r="S53" i="16"/>
  <c r="P7" i="16"/>
  <c r="Q7" i="16"/>
  <c r="P36" i="16"/>
  <c r="Q36" i="16"/>
  <c r="S50" i="16"/>
  <c r="R50" i="16"/>
  <c r="P43" i="16"/>
  <c r="Q43" i="16"/>
  <c r="Q38" i="16"/>
  <c r="P38" i="16"/>
  <c r="X19" i="16"/>
  <c r="V20" i="16"/>
  <c r="R47" i="16"/>
  <c r="S47" i="16"/>
  <c r="P41" i="16"/>
  <c r="Q41" i="16"/>
  <c r="V10" i="16"/>
  <c r="X9" i="16"/>
  <c r="R51" i="16"/>
  <c r="S51" i="16"/>
  <c r="R17" i="16"/>
  <c r="Q44" i="16"/>
  <c r="P44" i="16"/>
  <c r="Q42" i="16"/>
  <c r="P42" i="16"/>
  <c r="Q39" i="16"/>
  <c r="P39" i="16"/>
  <c r="S49" i="16"/>
  <c r="R49" i="16"/>
  <c r="R53" i="16"/>
  <c r="P6" i="16"/>
  <c r="Q6" i="16"/>
  <c r="AE8" i="16"/>
  <c r="AB8" i="16"/>
  <c r="AD8" i="16"/>
  <c r="AC8" i="16"/>
  <c r="P37" i="16"/>
  <c r="Q37" i="16"/>
  <c r="Q40" i="16"/>
  <c r="P40" i="16"/>
  <c r="R52" i="16"/>
  <c r="S52" i="16"/>
  <c r="R45" i="16"/>
  <c r="S45" i="16"/>
  <c r="S48" i="16"/>
  <c r="R48" i="16"/>
  <c r="R46" i="16"/>
  <c r="S46" i="16"/>
  <c r="AE18" i="16"/>
  <c r="S18" i="16" s="1"/>
  <c r="AD18" i="16"/>
  <c r="AC18" i="16"/>
  <c r="AB18" i="16"/>
  <c r="Q16" i="13"/>
  <c r="P16" i="13"/>
  <c r="Q6" i="13"/>
  <c r="P6" i="13"/>
  <c r="S40" i="13"/>
  <c r="S44" i="13"/>
  <c r="S37" i="13"/>
  <c r="S49" i="13"/>
  <c r="S45" i="13"/>
  <c r="S43" i="13"/>
  <c r="S41" i="13"/>
  <c r="R36" i="13"/>
  <c r="S42" i="13"/>
  <c r="S52" i="13"/>
  <c r="S50" i="13"/>
  <c r="R49" i="13"/>
  <c r="R45" i="13"/>
  <c r="Q45" i="13" s="1"/>
  <c r="S38" i="13"/>
  <c r="R50" i="13"/>
  <c r="Q50" i="13" s="1"/>
  <c r="R43" i="13"/>
  <c r="R41" i="13"/>
  <c r="S36" i="13"/>
  <c r="R40" i="13"/>
  <c r="R39" i="13"/>
  <c r="R44" i="13"/>
  <c r="R37" i="13"/>
  <c r="S48" i="13"/>
  <c r="R46" i="13"/>
  <c r="P46" i="13" s="1"/>
  <c r="R51" i="13"/>
  <c r="R52" i="13"/>
  <c r="Q52" i="13" s="1"/>
  <c r="S39" i="13"/>
  <c r="R42" i="13"/>
  <c r="S7" i="13"/>
  <c r="S53" i="13"/>
  <c r="R47" i="13"/>
  <c r="Q47" i="13" s="1"/>
  <c r="S47" i="13"/>
  <c r="R48" i="13"/>
  <c r="Q48" i="13" s="1"/>
  <c r="R53" i="13"/>
  <c r="P53" i="13" s="1"/>
  <c r="S46" i="13"/>
  <c r="S51" i="13"/>
  <c r="AE18" i="13"/>
  <c r="AD18" i="13"/>
  <c r="AC18" i="13"/>
  <c r="AC8" i="13"/>
  <c r="AD8" i="13"/>
  <c r="AB8" i="13"/>
  <c r="R7" i="13"/>
  <c r="S17" i="13"/>
  <c r="R17" i="13"/>
  <c r="AB18" i="13"/>
  <c r="AE8" i="13"/>
  <c r="V20" i="13"/>
  <c r="X20" i="13" s="1"/>
  <c r="X9" i="13"/>
  <c r="V10" i="13"/>
  <c r="R18" i="16" l="1"/>
  <c r="R8" i="16"/>
  <c r="Q18" i="16"/>
  <c r="P18" i="16"/>
  <c r="P46" i="16"/>
  <c r="Q46" i="16"/>
  <c r="Q45" i="16"/>
  <c r="P45" i="16"/>
  <c r="X20" i="16"/>
  <c r="V21" i="16"/>
  <c r="Q14" i="16"/>
  <c r="Q26" i="16"/>
  <c r="P48" i="16"/>
  <c r="Q48" i="16"/>
  <c r="Q8" i="16"/>
  <c r="P8" i="16"/>
  <c r="Q51" i="16"/>
  <c r="P51" i="16"/>
  <c r="AC19" i="16"/>
  <c r="AD19" i="16"/>
  <c r="AB19" i="16"/>
  <c r="S19" i="16" s="1"/>
  <c r="AE19" i="16"/>
  <c r="R19" i="16" s="1"/>
  <c r="P26" i="16"/>
  <c r="P14" i="16"/>
  <c r="Q52" i="16"/>
  <c r="P52" i="16"/>
  <c r="P53" i="16"/>
  <c r="Q53" i="16"/>
  <c r="AC9" i="16"/>
  <c r="AD9" i="16"/>
  <c r="AB9" i="16"/>
  <c r="AE9" i="16"/>
  <c r="R9" i="16" s="1"/>
  <c r="P50" i="16"/>
  <c r="Q50" i="16"/>
  <c r="S8" i="16"/>
  <c r="Q49" i="16"/>
  <c r="P49" i="16"/>
  <c r="P17" i="16"/>
  <c r="Q17" i="16"/>
  <c r="V11" i="16"/>
  <c r="X10" i="16"/>
  <c r="Q47" i="16"/>
  <c r="P47" i="16"/>
  <c r="P7" i="13"/>
  <c r="Q7" i="13"/>
  <c r="Q17" i="13"/>
  <c r="P17" i="13"/>
  <c r="S18" i="13"/>
  <c r="P47" i="13"/>
  <c r="Q53" i="13"/>
  <c r="P45" i="13"/>
  <c r="P50" i="13"/>
  <c r="P48" i="13"/>
  <c r="Q46" i="13"/>
  <c r="P52" i="13"/>
  <c r="S8" i="13"/>
  <c r="AE19" i="13"/>
  <c r="AD19" i="13"/>
  <c r="AC19" i="13"/>
  <c r="AC9" i="13"/>
  <c r="AD9" i="13"/>
  <c r="Q49" i="13"/>
  <c r="Q27" i="13" s="1"/>
  <c r="P51" i="13"/>
  <c r="AB9" i="13"/>
  <c r="R8" i="13"/>
  <c r="R18" i="13"/>
  <c r="AB19" i="13"/>
  <c r="V21" i="13"/>
  <c r="X21" i="13" s="1"/>
  <c r="X10" i="13"/>
  <c r="V11" i="13"/>
  <c r="AE9" i="13"/>
  <c r="P19" i="16" l="1"/>
  <c r="Q19" i="16"/>
  <c r="V22" i="16"/>
  <c r="X21" i="16"/>
  <c r="AD20" i="16"/>
  <c r="AB20" i="16"/>
  <c r="AE20" i="16"/>
  <c r="R20" i="16" s="1"/>
  <c r="AC20" i="16"/>
  <c r="AD10" i="16"/>
  <c r="AC10" i="16"/>
  <c r="AB10" i="16"/>
  <c r="AE10" i="16"/>
  <c r="S10" i="16" s="1"/>
  <c r="P27" i="16"/>
  <c r="P25" i="16"/>
  <c r="X11" i="16"/>
  <c r="V12" i="16"/>
  <c r="Q25" i="16"/>
  <c r="Q27" i="16"/>
  <c r="Q9" i="16"/>
  <c r="P9" i="16"/>
  <c r="S9" i="16"/>
  <c r="Q18" i="13"/>
  <c r="P18" i="13"/>
  <c r="Q8" i="13"/>
  <c r="P8" i="13"/>
  <c r="Q25" i="13"/>
  <c r="Q51" i="13"/>
  <c r="P49" i="13"/>
  <c r="P42" i="13"/>
  <c r="Q42" i="13"/>
  <c r="P41" i="13"/>
  <c r="Q41" i="13"/>
  <c r="R9" i="13"/>
  <c r="S9" i="13"/>
  <c r="AD10" i="13"/>
  <c r="AC10" i="13"/>
  <c r="AE20" i="13"/>
  <c r="AD20" i="13"/>
  <c r="AC20" i="13"/>
  <c r="Q36" i="13"/>
  <c r="Q26" i="13" s="1"/>
  <c r="P38" i="13"/>
  <c r="Q43" i="13"/>
  <c r="Q44" i="13"/>
  <c r="P37" i="13"/>
  <c r="AB10" i="13"/>
  <c r="R19" i="13"/>
  <c r="S19" i="13"/>
  <c r="AB20" i="13"/>
  <c r="V22" i="13"/>
  <c r="X22" i="13" s="1"/>
  <c r="AE10" i="13"/>
  <c r="X11" i="13"/>
  <c r="V12" i="13"/>
  <c r="V13" i="13" s="1"/>
  <c r="Q20" i="16" l="1"/>
  <c r="P20" i="16"/>
  <c r="AC21" i="16"/>
  <c r="AE21" i="16"/>
  <c r="S21" i="16" s="1"/>
  <c r="AB21" i="16"/>
  <c r="AD21" i="16"/>
  <c r="X12" i="16"/>
  <c r="V13" i="16"/>
  <c r="X13" i="16" s="1"/>
  <c r="R10" i="16"/>
  <c r="V23" i="16"/>
  <c r="X22" i="16"/>
  <c r="AE11" i="16"/>
  <c r="AC11" i="16"/>
  <c r="AD11" i="16"/>
  <c r="AB11" i="16"/>
  <c r="S20" i="16"/>
  <c r="Q19" i="13"/>
  <c r="P19" i="13"/>
  <c r="Q9" i="13"/>
  <c r="P9" i="13"/>
  <c r="P27" i="13"/>
  <c r="P25" i="13"/>
  <c r="Q14" i="13"/>
  <c r="R10" i="13"/>
  <c r="P36" i="13"/>
  <c r="P44" i="13"/>
  <c r="Q38" i="13"/>
  <c r="Q37" i="13"/>
  <c r="P40" i="13"/>
  <c r="Q40" i="13"/>
  <c r="P43" i="13"/>
  <c r="P39" i="13"/>
  <c r="Q39" i="13"/>
  <c r="S20" i="13"/>
  <c r="R20" i="13"/>
  <c r="AC11" i="13"/>
  <c r="AD11" i="13"/>
  <c r="AE21" i="13"/>
  <c r="AC21" i="13"/>
  <c r="AD21" i="13"/>
  <c r="S10" i="13"/>
  <c r="AB11" i="13"/>
  <c r="AB21" i="13"/>
  <c r="AE11" i="13"/>
  <c r="R11" i="13" s="1"/>
  <c r="X13" i="13"/>
  <c r="X12" i="13"/>
  <c r="V23" i="13"/>
  <c r="X23" i="13" s="1"/>
  <c r="R11" i="16" l="1"/>
  <c r="Q11" i="16" s="1"/>
  <c r="V24" i="16"/>
  <c r="X24" i="16" s="1"/>
  <c r="X23" i="16"/>
  <c r="R21" i="16"/>
  <c r="S11" i="16"/>
  <c r="P10" i="16"/>
  <c r="Q10" i="16"/>
  <c r="AC13" i="16"/>
  <c r="AB13" i="16"/>
  <c r="AD13" i="16"/>
  <c r="AE13" i="16"/>
  <c r="S13" i="16" s="1"/>
  <c r="AB22" i="16"/>
  <c r="AD22" i="16"/>
  <c r="AE22" i="16"/>
  <c r="R22" i="16" s="1"/>
  <c r="AC22" i="16"/>
  <c r="AD12" i="16"/>
  <c r="AC12" i="16"/>
  <c r="AB12" i="16"/>
  <c r="R12" i="16" s="1"/>
  <c r="AE12" i="16"/>
  <c r="P14" i="13"/>
  <c r="P26" i="13"/>
  <c r="Q10" i="13"/>
  <c r="P10" i="13"/>
  <c r="Q20" i="13"/>
  <c r="P20" i="13"/>
  <c r="Q11" i="13"/>
  <c r="P11" i="13"/>
  <c r="AE22" i="13"/>
  <c r="AC22" i="13"/>
  <c r="AD22" i="13"/>
  <c r="AC12" i="13"/>
  <c r="AD12" i="13"/>
  <c r="AD13" i="13"/>
  <c r="AC13" i="13"/>
  <c r="S11" i="13"/>
  <c r="AE12" i="13"/>
  <c r="AB12" i="13"/>
  <c r="AE13" i="13"/>
  <c r="AB13" i="13"/>
  <c r="R21" i="13"/>
  <c r="S21" i="13"/>
  <c r="AB22" i="13"/>
  <c r="S22" i="13" s="1"/>
  <c r="V24" i="13"/>
  <c r="X24" i="13" s="1"/>
  <c r="P11" i="16" l="1"/>
  <c r="S12" i="16"/>
  <c r="S22" i="16"/>
  <c r="Q12" i="16"/>
  <c r="P12" i="16"/>
  <c r="P22" i="16"/>
  <c r="Q22" i="16"/>
  <c r="AC23" i="16"/>
  <c r="AB23" i="16"/>
  <c r="AE23" i="16"/>
  <c r="AD23" i="16"/>
  <c r="S23" i="16"/>
  <c r="R23" i="16"/>
  <c r="AE24" i="16"/>
  <c r="AC24" i="16"/>
  <c r="AB24" i="16"/>
  <c r="R24" i="16" s="1"/>
  <c r="AD24" i="16"/>
  <c r="R13" i="16"/>
  <c r="P21" i="16"/>
  <c r="Q21" i="16"/>
  <c r="Q21" i="13"/>
  <c r="P21" i="13"/>
  <c r="S12" i="13"/>
  <c r="R13" i="13"/>
  <c r="AE23" i="13"/>
  <c r="AC23" i="13"/>
  <c r="AD23" i="13"/>
  <c r="R12" i="13"/>
  <c r="AE24" i="13"/>
  <c r="AC24" i="13"/>
  <c r="AD24" i="13"/>
  <c r="S13" i="13"/>
  <c r="AB23" i="13"/>
  <c r="R22" i="13"/>
  <c r="AB24" i="13"/>
  <c r="S24" i="16" l="1"/>
  <c r="Q24" i="16"/>
  <c r="P24" i="16"/>
  <c r="P23" i="16"/>
  <c r="Q23" i="16"/>
  <c r="P13" i="16"/>
  <c r="Q13" i="16"/>
  <c r="Q22" i="13"/>
  <c r="P22" i="13"/>
  <c r="Q12" i="13"/>
  <c r="P12" i="13"/>
  <c r="Q13" i="13"/>
  <c r="P13" i="13"/>
  <c r="S24" i="13"/>
  <c r="R23" i="13"/>
  <c r="R24" i="13"/>
  <c r="S23" i="13"/>
  <c r="Q24" i="13" l="1"/>
  <c r="P24" i="13"/>
  <c r="Q23" i="13"/>
  <c r="P23" i="13"/>
  <c r="AH2" i="9"/>
  <c r="AH3" i="9" l="1"/>
  <c r="E18" i="1"/>
  <c r="AI4" i="1" l="1"/>
  <c r="AI3" i="1"/>
</calcChain>
</file>

<file path=xl/sharedStrings.xml><?xml version="1.0" encoding="utf-8"?>
<sst xmlns="http://schemas.openxmlformats.org/spreadsheetml/2006/main" count="348" uniqueCount="79">
  <si>
    <t>R</t>
  </si>
  <si>
    <t>R/D</t>
  </si>
  <si>
    <t>X1</t>
  </si>
  <si>
    <t>B но ОХ</t>
  </si>
  <si>
    <t>Y1</t>
  </si>
  <si>
    <t>угол b</t>
  </si>
  <si>
    <t>угол a-b</t>
  </si>
  <si>
    <t>угол a+b</t>
  </si>
  <si>
    <t>Ширина%</t>
  </si>
  <si>
    <t>+Y сглаж</t>
  </si>
  <si>
    <t>N</t>
  </si>
  <si>
    <t>D, м</t>
  </si>
  <si>
    <t>R, Кгс</t>
  </si>
  <si>
    <t>N, лс</t>
  </si>
  <si>
    <t>вводим</t>
  </si>
  <si>
    <t>вычисляется</t>
  </si>
  <si>
    <t>n</t>
  </si>
  <si>
    <t>D</t>
  </si>
  <si>
    <t>n, об/мин</t>
  </si>
  <si>
    <t>Y</t>
  </si>
  <si>
    <t>ширина</t>
  </si>
  <si>
    <t>толщина</t>
  </si>
  <si>
    <t>С, мм</t>
  </si>
  <si>
    <t>ширина, мм</t>
  </si>
  <si>
    <t>a</t>
  </si>
  <si>
    <t>B, (16,5%)</t>
  </si>
  <si>
    <t>B %</t>
  </si>
  <si>
    <r>
      <t xml:space="preserve">С,(16,5%) </t>
    </r>
    <r>
      <rPr>
        <b/>
        <u/>
        <sz val="11"/>
        <color rgb="FFFF0000"/>
        <rFont val="Calibri"/>
        <family val="2"/>
        <charset val="204"/>
        <scheme val="minor"/>
      </rPr>
      <t>r,%</t>
    </r>
  </si>
  <si>
    <t>тяга</t>
  </si>
  <si>
    <t>D,м</t>
  </si>
  <si>
    <r>
      <t xml:space="preserve">С,X% </t>
    </r>
    <r>
      <rPr>
        <b/>
        <u/>
        <sz val="11"/>
        <color rgb="FFFF0000"/>
        <rFont val="Calibri"/>
        <family val="2"/>
        <charset val="204"/>
        <scheme val="minor"/>
      </rPr>
      <t>r,%</t>
    </r>
  </si>
  <si>
    <t>B</t>
  </si>
  <si>
    <t>Y2</t>
  </si>
  <si>
    <t>tg1</t>
  </si>
  <si>
    <t>вычисл</t>
  </si>
  <si>
    <t>h</t>
  </si>
  <si>
    <t>относит. Шаг</t>
  </si>
  <si>
    <t>относит. Ширина</t>
  </si>
  <si>
    <t>H/2п</t>
  </si>
  <si>
    <t>h=H/D</t>
  </si>
  <si>
    <t>относительная ширина</t>
  </si>
  <si>
    <t>частота вращения</t>
  </si>
  <si>
    <t>мощность</t>
  </si>
  <si>
    <t>N, л.с.</t>
  </si>
  <si>
    <t>для любых значений D и N в допустимом диапазоне</t>
  </si>
  <si>
    <t>Гип.</t>
  </si>
  <si>
    <t>только для указанных значений D</t>
  </si>
  <si>
    <t>диаметр</t>
  </si>
  <si>
    <t>tg</t>
  </si>
  <si>
    <t>x</t>
  </si>
  <si>
    <t>y</t>
  </si>
  <si>
    <t>k1</t>
  </si>
  <si>
    <t>k2</t>
  </si>
  <si>
    <t>R1</t>
  </si>
  <si>
    <t>R2</t>
  </si>
  <si>
    <t>к1</t>
  </si>
  <si>
    <t>шаг</t>
  </si>
  <si>
    <t>относит. шаг</t>
  </si>
  <si>
    <t>х</t>
  </si>
  <si>
    <t>у</t>
  </si>
  <si>
    <t>для любых значений D, N, n в допустимом диапазоне: D (1-2,5), N (10-60), n (1000-7000)</t>
  </si>
  <si>
    <t>R, мм</t>
  </si>
  <si>
    <t>эти данные будут использованы для расчёта параметров сечений и углов их установки!</t>
  </si>
  <si>
    <t>мин. 10% макс. 70%</t>
  </si>
  <si>
    <r>
      <rPr>
        <b/>
        <i/>
        <u/>
        <sz val="14"/>
        <color rgb="FF006600"/>
        <rFont val="Arial"/>
        <family val="2"/>
        <charset val="204"/>
      </rPr>
      <t>b</t>
    </r>
    <r>
      <rPr>
        <b/>
        <i/>
        <sz val="14"/>
        <color rgb="FF006600"/>
        <rFont val="Calibri"/>
        <family val="2"/>
        <charset val="204"/>
        <scheme val="minor"/>
      </rPr>
      <t>=B/R, %</t>
    </r>
  </si>
  <si>
    <t>n max</t>
  </si>
  <si>
    <t>n min</t>
  </si>
  <si>
    <t>допустимый диапазон</t>
  </si>
  <si>
    <t>B%</t>
  </si>
  <si>
    <t>В мм</t>
  </si>
  <si>
    <t>крутка сечения (под вашу ответственность!))</t>
  </si>
  <si>
    <t>коррекция расчётного угла</t>
  </si>
  <si>
    <t>координаты крайних точек</t>
  </si>
  <si>
    <t>угол a</t>
  </si>
  <si>
    <t>X</t>
  </si>
  <si>
    <t>r%</t>
  </si>
  <si>
    <t>r мм</t>
  </si>
  <si>
    <t>радиус конца</t>
  </si>
  <si>
    <t>этого сечения нет! Оно для удобства при моделировании. Скругляется радиусом конца.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</si>
</sst>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0.00000"/>
    <numFmt numFmtId="167" formatCode="0.000000"/>
  </numFmts>
  <fonts count="51" x14ac:knownFonts="1">
    <font>
      <sz val="11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theme="0" tint="-0.1499984740745262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0" tint="-0.14999847407452621"/>
      <name val="Calibri"/>
      <family val="2"/>
      <charset val="204"/>
      <scheme val="minor"/>
    </font>
    <font>
      <b/>
      <i/>
      <u/>
      <sz val="12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8"/>
      <name val="Cambria"/>
      <family val="1"/>
      <charset val="204"/>
      <scheme val="major"/>
    </font>
    <font>
      <b/>
      <sz val="9"/>
      <color rgb="FF00B05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1"/>
      <color rgb="FF00B050"/>
      <name val="Calibri"/>
      <family val="2"/>
      <charset val="204"/>
      <scheme val="minor"/>
    </font>
    <font>
      <b/>
      <sz val="14"/>
      <color rgb="FF00B0F0"/>
      <name val="Calibri"/>
      <family val="2"/>
      <charset val="204"/>
      <scheme val="minor"/>
    </font>
    <font>
      <b/>
      <i/>
      <sz val="14"/>
      <color rgb="FF00B0F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2"/>
      <color rgb="FF00B0F0"/>
      <name val="Calibri"/>
      <family val="2"/>
      <charset val="204"/>
      <scheme val="minor"/>
    </font>
    <font>
      <b/>
      <sz val="12"/>
      <color rgb="FF00B0F0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9"/>
      <color rgb="FF006600"/>
      <name val="Calibri"/>
      <family val="2"/>
      <charset val="204"/>
      <scheme val="minor"/>
    </font>
    <font>
      <b/>
      <i/>
      <u/>
      <sz val="14"/>
      <color rgb="FF006600"/>
      <name val="Calibri"/>
      <family val="2"/>
      <charset val="204"/>
      <scheme val="minor"/>
    </font>
    <font>
      <b/>
      <i/>
      <u/>
      <sz val="14"/>
      <color rgb="FF006600"/>
      <name val="Arial"/>
      <family val="2"/>
      <charset val="204"/>
    </font>
    <font>
      <b/>
      <i/>
      <sz val="14"/>
      <color rgb="FF006600"/>
      <name val="Calibri"/>
      <family val="2"/>
      <charset val="204"/>
      <scheme val="minor"/>
    </font>
    <font>
      <sz val="14"/>
      <color rgb="FF006600"/>
      <name val="Calibri"/>
      <family val="2"/>
      <charset val="204"/>
      <scheme val="minor"/>
    </font>
    <font>
      <b/>
      <sz val="11"/>
      <color rgb="FF006600"/>
      <name val="Calibri"/>
      <family val="2"/>
      <charset val="204"/>
      <scheme val="minor"/>
    </font>
    <font>
      <b/>
      <i/>
      <sz val="11"/>
      <color rgb="FF0066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strike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1"/>
      <color theme="3" tint="0.39997558519241921"/>
      <name val="Calibri"/>
      <family val="2"/>
      <charset val="204"/>
      <scheme val="minor"/>
    </font>
    <font>
      <b/>
      <i/>
      <sz val="11"/>
      <color theme="3" tint="0.39997558519241921"/>
      <name val="Calibri"/>
      <family val="2"/>
      <charset val="204"/>
      <scheme val="minor"/>
    </font>
    <font>
      <b/>
      <sz val="11"/>
      <color theme="3" tint="0.3999755851924192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6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2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3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164" fontId="5" fillId="9" borderId="0" xfId="0" applyNumberFormat="1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1" fontId="5" fillId="9" borderId="0" xfId="0" applyNumberFormat="1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165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64" fontId="0" fillId="0" borderId="0" xfId="0" applyNumberFormat="1" applyFill="1" applyBorder="1"/>
    <xf numFmtId="165" fontId="0" fillId="0" borderId="0" xfId="0" applyNumberForma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165" fontId="0" fillId="4" borderId="0" xfId="0" applyNumberFormat="1" applyFill="1" applyAlignment="1">
      <alignment horizontal="center"/>
    </xf>
    <xf numFmtId="2" fontId="0" fillId="4" borderId="0" xfId="0" applyNumberForma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165" fontId="0" fillId="12" borderId="0" xfId="0" applyNumberFormat="1" applyFill="1" applyBorder="1" applyAlignment="1">
      <alignment horizontal="center"/>
    </xf>
    <xf numFmtId="164" fontId="0" fillId="12" borderId="0" xfId="0" applyNumberFormat="1" applyFill="1" applyBorder="1"/>
    <xf numFmtId="0" fontId="5" fillId="0" borderId="0" xfId="0" applyFont="1" applyFill="1" applyAlignment="1">
      <alignment horizontal="center"/>
    </xf>
    <xf numFmtId="2" fontId="5" fillId="0" borderId="0" xfId="0" applyNumberFormat="1" applyFont="1" applyFill="1" applyAlignment="1">
      <alignment horizontal="center"/>
    </xf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Border="1" applyAlignment="1">
      <alignment horizontal="right"/>
    </xf>
    <xf numFmtId="2" fontId="3" fillId="0" borderId="0" xfId="0" applyNumberFormat="1" applyFont="1"/>
    <xf numFmtId="0" fontId="20" fillId="0" borderId="0" xfId="0" applyFont="1" applyBorder="1"/>
    <xf numFmtId="1" fontId="20" fillId="0" borderId="0" xfId="0" applyNumberFormat="1" applyFont="1" applyBorder="1"/>
    <xf numFmtId="0" fontId="20" fillId="0" borderId="0" xfId="0" applyFont="1" applyFill="1" applyBorder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1" fillId="10" borderId="0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left" vertical="center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>
      <alignment horizontal="center" vertical="center"/>
    </xf>
    <xf numFmtId="0" fontId="4" fillId="13" borderId="1" xfId="0" applyFont="1" applyFill="1" applyBorder="1" applyAlignment="1">
      <alignment horizontal="left" vertical="center"/>
    </xf>
    <xf numFmtId="0" fontId="26" fillId="13" borderId="1" xfId="0" applyFont="1" applyFill="1" applyBorder="1" applyAlignment="1">
      <alignment horizontal="center" vertical="center"/>
    </xf>
    <xf numFmtId="0" fontId="26" fillId="13" borderId="1" xfId="0" applyFont="1" applyFill="1" applyBorder="1" applyAlignment="1">
      <alignment horizontal="left" vertical="center"/>
    </xf>
    <xf numFmtId="0" fontId="0" fillId="13" borderId="1" xfId="0" applyFill="1" applyBorder="1"/>
    <xf numFmtId="0" fontId="15" fillId="7" borderId="1" xfId="0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0" fillId="12" borderId="0" xfId="0" applyFont="1" applyFill="1" applyBorder="1"/>
    <xf numFmtId="0" fontId="20" fillId="8" borderId="0" xfId="0" applyFont="1" applyFill="1" applyBorder="1"/>
    <xf numFmtId="0" fontId="4" fillId="0" borderId="0" xfId="0" applyFont="1" applyAlignment="1">
      <alignment horizontal="center" vertical="center"/>
    </xf>
    <xf numFmtId="0" fontId="0" fillId="8" borderId="0" xfId="0" applyFill="1"/>
    <xf numFmtId="2" fontId="0" fillId="8" borderId="0" xfId="0" applyNumberFormat="1" applyFill="1" applyAlignment="1">
      <alignment horizontal="center" vertical="center"/>
    </xf>
    <xf numFmtId="0" fontId="20" fillId="8" borderId="0" xfId="0" applyFont="1" applyFill="1" applyBorder="1" applyAlignment="1">
      <alignment horizontal="center"/>
    </xf>
    <xf numFmtId="0" fontId="20" fillId="12" borderId="0" xfId="0" applyFont="1" applyFill="1" applyBorder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18" fillId="12" borderId="0" xfId="0" applyFont="1" applyFill="1" applyBorder="1" applyAlignment="1">
      <alignment horizontal="left"/>
    </xf>
    <xf numFmtId="1" fontId="18" fillId="12" borderId="0" xfId="0" applyNumberFormat="1" applyFont="1" applyFill="1" applyBorder="1" applyAlignment="1">
      <alignment horizontal="left"/>
    </xf>
    <xf numFmtId="0" fontId="5" fillId="8" borderId="0" xfId="0" applyFont="1" applyFill="1" applyBorder="1" applyAlignment="1">
      <alignment horizontal="left"/>
    </xf>
    <xf numFmtId="1" fontId="5" fillId="8" borderId="0" xfId="0" applyNumberFormat="1" applyFont="1" applyFill="1" applyBorder="1" applyAlignment="1">
      <alignment horizontal="left"/>
    </xf>
    <xf numFmtId="0" fontId="20" fillId="0" borderId="0" xfId="0" applyFont="1" applyBorder="1" applyAlignment="1">
      <alignment horizontal="right"/>
    </xf>
    <xf numFmtId="0" fontId="20" fillId="8" borderId="0" xfId="0" applyFont="1" applyFill="1" applyBorder="1" applyAlignment="1">
      <alignment horizontal="center" vertical="top"/>
    </xf>
    <xf numFmtId="0" fontId="20" fillId="8" borderId="0" xfId="0" applyFont="1" applyFill="1" applyBorder="1" applyAlignment="1">
      <alignment horizontal="right"/>
    </xf>
    <xf numFmtId="1" fontId="20" fillId="8" borderId="0" xfId="0" applyNumberFormat="1" applyFont="1" applyFill="1" applyBorder="1" applyAlignment="1">
      <alignment horizontal="center" vertical="center"/>
    </xf>
    <xf numFmtId="0" fontId="20" fillId="12" borderId="0" xfId="0" applyFont="1" applyFill="1" applyBorder="1" applyAlignment="1">
      <alignment horizontal="center" vertical="top"/>
    </xf>
    <xf numFmtId="1" fontId="20" fillId="12" borderId="0" xfId="0" applyNumberFormat="1" applyFont="1" applyFill="1" applyBorder="1" applyAlignment="1">
      <alignment horizontal="center" vertical="center"/>
    </xf>
    <xf numFmtId="0" fontId="28" fillId="8" borderId="0" xfId="0" applyFont="1" applyFill="1" applyAlignment="1">
      <alignment horizontal="left" vertical="center"/>
    </xf>
    <xf numFmtId="164" fontId="20" fillId="8" borderId="0" xfId="0" applyNumberFormat="1" applyFont="1" applyFill="1" applyBorder="1" applyAlignment="1">
      <alignment horizontal="center" vertical="center"/>
    </xf>
    <xf numFmtId="0" fontId="28" fillId="15" borderId="0" xfId="0" applyFont="1" applyFill="1" applyAlignment="1">
      <alignment horizontal="left"/>
    </xf>
    <xf numFmtId="0" fontId="0" fillId="15" borderId="0" xfId="0" applyFill="1" applyAlignment="1">
      <alignment horizontal="left"/>
    </xf>
    <xf numFmtId="1" fontId="3" fillId="0" borderId="0" xfId="0" applyNumberFormat="1" applyFont="1"/>
    <xf numFmtId="2" fontId="20" fillId="8" borderId="0" xfId="0" applyNumberFormat="1" applyFont="1" applyFill="1" applyBorder="1"/>
    <xf numFmtId="2" fontId="20" fillId="8" borderId="0" xfId="0" applyNumberFormat="1" applyFont="1" applyFill="1" applyBorder="1" applyAlignment="1">
      <alignment horizontal="center" vertical="top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2" fontId="24" fillId="2" borderId="5" xfId="0" applyNumberFormat="1" applyFont="1" applyFill="1" applyBorder="1" applyAlignment="1" applyProtection="1">
      <alignment horizontal="center" vertical="center"/>
    </xf>
    <xf numFmtId="1" fontId="24" fillId="2" borderId="1" xfId="0" applyNumberFormat="1" applyFont="1" applyFill="1" applyBorder="1" applyAlignment="1" applyProtection="1">
      <alignment horizontal="center" vertical="center"/>
    </xf>
    <xf numFmtId="1" fontId="25" fillId="2" borderId="1" xfId="0" applyNumberFormat="1" applyFont="1" applyFill="1" applyBorder="1" applyAlignment="1" applyProtection="1">
      <alignment horizontal="center" vertical="center"/>
    </xf>
    <xf numFmtId="1" fontId="30" fillId="2" borderId="1" xfId="0" applyNumberFormat="1" applyFont="1" applyFill="1" applyBorder="1" applyAlignment="1" applyProtection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1" fillId="7" borderId="1" xfId="0" applyFont="1" applyFill="1" applyBorder="1" applyAlignment="1" applyProtection="1">
      <alignment horizontal="center" vertical="center"/>
      <protection locked="0"/>
    </xf>
    <xf numFmtId="165" fontId="32" fillId="2" borderId="1" xfId="0" applyNumberFormat="1" applyFont="1" applyFill="1" applyBorder="1" applyAlignment="1">
      <alignment horizontal="center" vertical="center"/>
    </xf>
    <xf numFmtId="1" fontId="32" fillId="2" borderId="1" xfId="0" applyNumberFormat="1" applyFont="1" applyFill="1" applyBorder="1" applyAlignment="1">
      <alignment horizontal="center" vertical="center"/>
    </xf>
    <xf numFmtId="2" fontId="32" fillId="2" borderId="1" xfId="0" applyNumberFormat="1" applyFont="1" applyFill="1" applyBorder="1" applyAlignment="1">
      <alignment horizontal="center" vertical="center"/>
    </xf>
    <xf numFmtId="2" fontId="20" fillId="12" borderId="0" xfId="0" applyNumberFormat="1" applyFont="1" applyFill="1" applyBorder="1"/>
    <xf numFmtId="0" fontId="34" fillId="2" borderId="1" xfId="0" applyFont="1" applyFill="1" applyBorder="1" applyAlignment="1">
      <alignment horizontal="left" vertical="center"/>
    </xf>
    <xf numFmtId="1" fontId="35" fillId="2" borderId="1" xfId="0" applyNumberFormat="1" applyFont="1" applyFill="1" applyBorder="1" applyAlignment="1" applyProtection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1" fontId="41" fillId="2" borderId="1" xfId="0" applyNumberFormat="1" applyFont="1" applyFill="1" applyBorder="1" applyAlignment="1">
      <alignment horizontal="center" vertical="center"/>
    </xf>
    <xf numFmtId="2" fontId="41" fillId="2" borderId="1" xfId="0" applyNumberFormat="1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31" fillId="7" borderId="10" xfId="0" applyFont="1" applyFill="1" applyBorder="1" applyAlignment="1" applyProtection="1">
      <alignment horizontal="center" vertical="center"/>
      <protection locked="0"/>
    </xf>
    <xf numFmtId="1" fontId="32" fillId="2" borderId="11" xfId="0" applyNumberFormat="1" applyFont="1" applyFill="1" applyBorder="1" applyAlignment="1">
      <alignment horizontal="center" vertical="center"/>
    </xf>
    <xf numFmtId="0" fontId="37" fillId="2" borderId="11" xfId="0" applyFont="1" applyFill="1" applyBorder="1" applyAlignment="1">
      <alignment horizontal="center" vertical="center"/>
    </xf>
    <xf numFmtId="0" fontId="40" fillId="2" borderId="1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left" vertical="center"/>
    </xf>
    <xf numFmtId="0" fontId="42" fillId="2" borderId="1" xfId="0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center"/>
    </xf>
    <xf numFmtId="0" fontId="42" fillId="2" borderId="1" xfId="0" applyNumberFormat="1" applyFont="1" applyFill="1" applyBorder="1" applyAlignment="1">
      <alignment horizontal="center"/>
    </xf>
    <xf numFmtId="1" fontId="42" fillId="2" borderId="1" xfId="0" applyNumberFormat="1" applyFont="1" applyFill="1" applyBorder="1" applyAlignment="1">
      <alignment horizontal="center"/>
    </xf>
    <xf numFmtId="164" fontId="42" fillId="2" borderId="1" xfId="0" applyNumberFormat="1" applyFont="1" applyFill="1" applyBorder="1" applyAlignment="1">
      <alignment horizontal="center"/>
    </xf>
    <xf numFmtId="165" fontId="42" fillId="2" borderId="1" xfId="0" applyNumberFormat="1" applyFont="1" applyFill="1" applyBorder="1" applyAlignment="1">
      <alignment horizontal="center" vertical="center"/>
    </xf>
    <xf numFmtId="2" fontId="42" fillId="2" borderId="1" xfId="0" applyNumberFormat="1" applyFont="1" applyFill="1" applyBorder="1" applyAlignment="1">
      <alignment horizontal="center" vertical="center"/>
    </xf>
    <xf numFmtId="0" fontId="42" fillId="16" borderId="1" xfId="0" applyFont="1" applyFill="1" applyBorder="1" applyAlignment="1">
      <alignment horizontal="center"/>
    </xf>
    <xf numFmtId="165" fontId="42" fillId="16" borderId="1" xfId="0" applyNumberFormat="1" applyFont="1" applyFill="1" applyBorder="1" applyAlignment="1">
      <alignment horizontal="center"/>
    </xf>
    <xf numFmtId="0" fontId="34" fillId="3" borderId="1" xfId="0" applyFont="1" applyFill="1" applyBorder="1" applyAlignment="1">
      <alignment horizontal="left" vertical="center"/>
    </xf>
    <xf numFmtId="1" fontId="35" fillId="3" borderId="1" xfId="0" applyNumberFormat="1" applyFont="1" applyFill="1" applyBorder="1" applyAlignment="1" applyProtection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 applyProtection="1">
      <alignment horizontal="left" vertical="center"/>
      <protection locked="0"/>
    </xf>
    <xf numFmtId="0" fontId="17" fillId="7" borderId="1" xfId="0" applyFont="1" applyFill="1" applyBorder="1" applyAlignment="1" applyProtection="1">
      <alignment horizontal="left" vertical="center"/>
      <protection locked="0"/>
    </xf>
    <xf numFmtId="2" fontId="34" fillId="2" borderId="1" xfId="0" applyNumberFormat="1" applyFont="1" applyFill="1" applyBorder="1" applyAlignment="1">
      <alignment horizontal="left" vertical="center"/>
    </xf>
    <xf numFmtId="165" fontId="4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5" fontId="35" fillId="2" borderId="1" xfId="0" applyNumberFormat="1" applyFont="1" applyFill="1" applyBorder="1" applyAlignment="1" applyProtection="1">
      <alignment horizontal="center" vertical="center"/>
    </xf>
    <xf numFmtId="2" fontId="42" fillId="2" borderId="1" xfId="0" applyNumberFormat="1" applyFont="1" applyFill="1" applyBorder="1" applyAlignment="1">
      <alignment horizontal="center"/>
    </xf>
    <xf numFmtId="49" fontId="0" fillId="7" borderId="0" xfId="0" applyNumberFormat="1" applyFill="1"/>
    <xf numFmtId="165" fontId="8" fillId="7" borderId="7" xfId="0" applyNumberFormat="1" applyFont="1" applyFill="1" applyBorder="1" applyAlignment="1" applyProtection="1">
      <alignment horizontal="center" vertical="center"/>
      <protection locked="0"/>
    </xf>
    <xf numFmtId="165" fontId="15" fillId="7" borderId="1" xfId="0" applyNumberFormat="1" applyFont="1" applyFill="1" applyBorder="1" applyAlignment="1" applyProtection="1">
      <alignment horizontal="center" vertical="center"/>
      <protection locked="0"/>
    </xf>
    <xf numFmtId="165" fontId="31" fillId="7" borderId="1" xfId="0" applyNumberFormat="1" applyFont="1" applyFill="1" applyBorder="1" applyAlignment="1" applyProtection="1">
      <alignment horizontal="center" vertical="center"/>
      <protection locked="0"/>
    </xf>
    <xf numFmtId="2" fontId="0" fillId="5" borderId="22" xfId="0" applyNumberFormat="1" applyFill="1" applyBorder="1" applyAlignment="1">
      <alignment horizontal="center" vertical="center"/>
    </xf>
    <xf numFmtId="2" fontId="0" fillId="5" borderId="2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9" fillId="13" borderId="1" xfId="0" applyFont="1" applyFill="1" applyBorder="1" applyAlignment="1">
      <alignment horizontal="center" vertical="center" wrapText="1"/>
    </xf>
    <xf numFmtId="0" fontId="29" fillId="13" borderId="8" xfId="0" applyFont="1" applyFill="1" applyBorder="1" applyAlignment="1">
      <alignment horizontal="center" vertical="center" wrapText="1"/>
    </xf>
    <xf numFmtId="0" fontId="36" fillId="14" borderId="2" xfId="0" applyFont="1" applyFill="1" applyBorder="1" applyAlignment="1">
      <alignment horizontal="center" vertical="center" wrapText="1"/>
    </xf>
    <xf numFmtId="0" fontId="36" fillId="14" borderId="4" xfId="0" applyFont="1" applyFill="1" applyBorder="1" applyAlignment="1">
      <alignment horizontal="center" vertical="center" wrapText="1"/>
    </xf>
    <xf numFmtId="0" fontId="24" fillId="14" borderId="6" xfId="0" applyFont="1" applyFill="1" applyBorder="1" applyAlignment="1">
      <alignment horizontal="center" vertical="center" wrapText="1"/>
    </xf>
    <xf numFmtId="0" fontId="24" fillId="14" borderId="7" xfId="0" applyFont="1" applyFill="1" applyBorder="1" applyAlignment="1">
      <alignment horizontal="center" vertical="center" wrapText="1"/>
    </xf>
    <xf numFmtId="0" fontId="33" fillId="7" borderId="15" xfId="0" applyFont="1" applyFill="1" applyBorder="1" applyAlignment="1">
      <alignment horizontal="center" vertical="center" wrapText="1"/>
    </xf>
    <xf numFmtId="0" fontId="33" fillId="7" borderId="16" xfId="0" applyFont="1" applyFill="1" applyBorder="1" applyAlignment="1">
      <alignment horizontal="center" vertical="center" wrapText="1"/>
    </xf>
    <xf numFmtId="0" fontId="33" fillId="7" borderId="17" xfId="0" applyFont="1" applyFill="1" applyBorder="1" applyAlignment="1">
      <alignment horizontal="center" vertical="center" wrapText="1"/>
    </xf>
    <xf numFmtId="0" fontId="44" fillId="4" borderId="12" xfId="0" applyFont="1" applyFill="1" applyBorder="1" applyAlignment="1">
      <alignment horizontal="center"/>
    </xf>
    <xf numFmtId="0" fontId="44" fillId="4" borderId="13" xfId="0" applyFont="1" applyFill="1" applyBorder="1" applyAlignment="1">
      <alignment horizontal="center"/>
    </xf>
    <xf numFmtId="0" fontId="44" fillId="4" borderId="1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7" borderId="8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19" fillId="7" borderId="1" xfId="0" applyFont="1" applyFill="1" applyBorder="1" applyAlignment="1">
      <alignment horizontal="center" vertical="center" wrapText="1"/>
    </xf>
    <xf numFmtId="0" fontId="19" fillId="1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2" xfId="0" applyBorder="1"/>
    <xf numFmtId="2" fontId="5" fillId="0" borderId="2" xfId="0" applyNumberFormat="1" applyFont="1" applyBorder="1" applyAlignment="1">
      <alignment horizontal="center"/>
    </xf>
    <xf numFmtId="0" fontId="5" fillId="5" borderId="2" xfId="0" applyFont="1" applyFill="1" applyBorder="1"/>
    <xf numFmtId="2" fontId="0" fillId="5" borderId="2" xfId="0" applyNumberForma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65" fontId="0" fillId="0" borderId="3" xfId="0" applyNumberFormat="1" applyBorder="1"/>
    <xf numFmtId="2" fontId="5" fillId="0" borderId="0" xfId="0" applyNumberFormat="1" applyFont="1" applyBorder="1" applyAlignment="1">
      <alignment horizontal="center"/>
    </xf>
    <xf numFmtId="0" fontId="5" fillId="5" borderId="0" xfId="0" applyFont="1" applyFill="1" applyBorder="1"/>
    <xf numFmtId="2" fontId="0" fillId="5" borderId="0" xfId="0" applyNumberFormat="1" applyFill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0" fillId="0" borderId="23" xfId="0" applyBorder="1"/>
    <xf numFmtId="0" fontId="0" fillId="0" borderId="20" xfId="0" applyBorder="1"/>
    <xf numFmtId="2" fontId="5" fillId="0" borderId="20" xfId="0" applyNumberFormat="1" applyFont="1" applyBorder="1" applyAlignment="1">
      <alignment horizontal="center"/>
    </xf>
    <xf numFmtId="0" fontId="5" fillId="5" borderId="20" xfId="0" applyFont="1" applyFill="1" applyBorder="1"/>
    <xf numFmtId="2" fontId="0" fillId="5" borderId="20" xfId="0" applyNumberFormat="1" applyFill="1" applyBorder="1" applyAlignment="1">
      <alignment horizontal="center" vertical="center"/>
    </xf>
    <xf numFmtId="1" fontId="5" fillId="0" borderId="20" xfId="0" applyNumberFormat="1" applyFont="1" applyBorder="1" applyAlignment="1">
      <alignment horizontal="center"/>
    </xf>
    <xf numFmtId="0" fontId="0" fillId="0" borderId="21" xfId="0" applyBorder="1"/>
    <xf numFmtId="0" fontId="0" fillId="5" borderId="2" xfId="0" applyFill="1" applyBorder="1"/>
    <xf numFmtId="0" fontId="0" fillId="5" borderId="0" xfId="0" applyFill="1" applyBorder="1"/>
    <xf numFmtId="0" fontId="0" fillId="5" borderId="20" xfId="0" applyFill="1" applyBorder="1"/>
    <xf numFmtId="2" fontId="5" fillId="16" borderId="0" xfId="0" applyNumberFormat="1" applyFont="1" applyFill="1"/>
    <xf numFmtId="2" fontId="5" fillId="5" borderId="19" xfId="0" applyNumberFormat="1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2" fontId="5" fillId="5" borderId="22" xfId="0" applyNumberFormat="1" applyFont="1" applyFill="1" applyBorder="1" applyAlignment="1">
      <alignment horizontal="center" vertical="center"/>
    </xf>
    <xf numFmtId="2" fontId="5" fillId="5" borderId="23" xfId="0" applyNumberFormat="1" applyFont="1" applyFill="1" applyBorder="1" applyAlignment="1">
      <alignment horizontal="center" vertical="center"/>
    </xf>
    <xf numFmtId="2" fontId="5" fillId="5" borderId="4" xfId="0" applyNumberFormat="1" applyFont="1" applyFill="1" applyBorder="1" applyAlignment="1">
      <alignment horizontal="center" vertical="center"/>
    </xf>
    <xf numFmtId="2" fontId="5" fillId="5" borderId="21" xfId="0" applyNumberFormat="1" applyFont="1" applyFill="1" applyBorder="1" applyAlignment="1">
      <alignment horizontal="center" vertical="center"/>
    </xf>
    <xf numFmtId="164" fontId="5" fillId="15" borderId="0" xfId="0" applyNumberFormat="1" applyFont="1" applyFill="1" applyAlignment="1">
      <alignment horizontal="center" vertical="center"/>
    </xf>
    <xf numFmtId="0" fontId="10" fillId="15" borderId="0" xfId="0" applyFont="1" applyFill="1" applyAlignment="1">
      <alignment horizontal="center" vertical="center"/>
    </xf>
    <xf numFmtId="0" fontId="4" fillId="15" borderId="0" xfId="0" applyFont="1" applyFill="1" applyProtection="1">
      <protection locked="0"/>
    </xf>
    <xf numFmtId="2" fontId="5" fillId="15" borderId="0" xfId="0" applyNumberFormat="1" applyFont="1" applyFill="1"/>
    <xf numFmtId="0" fontId="4" fillId="7" borderId="0" xfId="0" applyFont="1" applyFill="1" applyAlignment="1" applyProtection="1">
      <alignment horizontal="center"/>
      <protection locked="0"/>
    </xf>
    <xf numFmtId="0" fontId="4" fillId="15" borderId="0" xfId="0" applyFont="1" applyFill="1" applyAlignment="1" applyProtection="1">
      <alignment horizontal="center"/>
      <protection locked="0"/>
    </xf>
    <xf numFmtId="2" fontId="45" fillId="15" borderId="0" xfId="0" applyNumberFormat="1" applyFont="1" applyFill="1" applyProtection="1">
      <protection locked="0"/>
    </xf>
    <xf numFmtId="2" fontId="5" fillId="16" borderId="0" xfId="0" applyNumberFormat="1" applyFont="1" applyFill="1" applyBorder="1"/>
    <xf numFmtId="0" fontId="0" fillId="0" borderId="2" xfId="0" applyBorder="1" applyAlignment="1">
      <alignment horizontal="center" vertical="center"/>
    </xf>
    <xf numFmtId="164" fontId="34" fillId="2" borderId="1" xfId="0" applyNumberFormat="1" applyFont="1" applyFill="1" applyBorder="1" applyAlignment="1">
      <alignment horizontal="left" vertical="center"/>
    </xf>
    <xf numFmtId="165" fontId="5" fillId="9" borderId="0" xfId="0" applyNumberFormat="1" applyFont="1" applyFill="1" applyAlignment="1">
      <alignment horizontal="center" vertical="center"/>
    </xf>
    <xf numFmtId="0" fontId="45" fillId="7" borderId="0" xfId="0" applyFont="1" applyFill="1" applyAlignment="1" applyProtection="1">
      <alignment horizontal="center"/>
      <protection locked="0"/>
    </xf>
    <xf numFmtId="2" fontId="46" fillId="2" borderId="1" xfId="0" applyNumberFormat="1" applyFont="1" applyFill="1" applyBorder="1" applyAlignment="1">
      <alignment horizontal="center" vertical="center"/>
    </xf>
    <xf numFmtId="2" fontId="46" fillId="16" borderId="1" xfId="0" applyNumberFormat="1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165" fontId="42" fillId="17" borderId="1" xfId="0" applyNumberFormat="1" applyFont="1" applyFill="1" applyBorder="1" applyAlignment="1">
      <alignment horizontal="center"/>
    </xf>
    <xf numFmtId="0" fontId="0" fillId="17" borderId="0" xfId="0" applyFill="1"/>
    <xf numFmtId="0" fontId="47" fillId="0" borderId="0" xfId="0" applyFont="1"/>
    <xf numFmtId="0" fontId="8" fillId="17" borderId="0" xfId="0" applyFont="1" applyFill="1"/>
    <xf numFmtId="49" fontId="48" fillId="15" borderId="24" xfId="0" applyNumberFormat="1" applyFont="1" applyFill="1" applyBorder="1" applyAlignment="1">
      <alignment horizontal="center"/>
    </xf>
    <xf numFmtId="49" fontId="48" fillId="15" borderId="25" xfId="0" applyNumberFormat="1" applyFont="1" applyFill="1" applyBorder="1" applyAlignment="1">
      <alignment horizontal="center"/>
    </xf>
    <xf numFmtId="49" fontId="48" fillId="15" borderId="28" xfId="0" applyNumberFormat="1" applyFont="1" applyFill="1" applyBorder="1"/>
    <xf numFmtId="49" fontId="48" fillId="15" borderId="29" xfId="0" applyNumberFormat="1" applyFont="1" applyFill="1" applyBorder="1"/>
    <xf numFmtId="165" fontId="49" fillId="5" borderId="24" xfId="0" applyNumberFormat="1" applyFont="1" applyFill="1" applyBorder="1" applyAlignment="1" applyProtection="1">
      <alignment horizontal="center"/>
      <protection locked="0"/>
    </xf>
    <xf numFmtId="165" fontId="49" fillId="5" borderId="25" xfId="0" applyNumberFormat="1" applyFont="1" applyFill="1" applyBorder="1" applyAlignment="1" applyProtection="1">
      <alignment horizontal="center"/>
      <protection locked="0"/>
    </xf>
    <xf numFmtId="165" fontId="49" fillId="5" borderId="26" xfId="0" applyNumberFormat="1" applyFont="1" applyFill="1" applyBorder="1" applyAlignment="1" applyProtection="1">
      <alignment horizontal="center"/>
      <protection locked="0"/>
    </xf>
    <xf numFmtId="165" fontId="49" fillId="5" borderId="27" xfId="0" applyNumberFormat="1" applyFont="1" applyFill="1" applyBorder="1" applyAlignment="1" applyProtection="1">
      <alignment horizontal="center"/>
      <protection locked="0"/>
    </xf>
    <xf numFmtId="165" fontId="49" fillId="9" borderId="26" xfId="0" applyNumberFormat="1" applyFont="1" applyFill="1" applyBorder="1" applyAlignment="1" applyProtection="1">
      <alignment horizontal="center"/>
      <protection locked="0"/>
    </xf>
    <xf numFmtId="165" fontId="49" fillId="9" borderId="27" xfId="0" applyNumberFormat="1" applyFont="1" applyFill="1" applyBorder="1" applyAlignment="1" applyProtection="1">
      <alignment horizontal="center"/>
      <protection locked="0"/>
    </xf>
    <xf numFmtId="165" fontId="49" fillId="6" borderId="26" xfId="0" applyNumberFormat="1" applyFont="1" applyFill="1" applyBorder="1" applyAlignment="1" applyProtection="1">
      <alignment horizontal="center"/>
      <protection locked="0"/>
    </xf>
    <xf numFmtId="165" fontId="49" fillId="6" borderId="27" xfId="0" applyNumberFormat="1" applyFont="1" applyFill="1" applyBorder="1" applyAlignment="1" applyProtection="1">
      <alignment horizontal="center"/>
      <protection locked="0"/>
    </xf>
    <xf numFmtId="165" fontId="49" fillId="9" borderId="28" xfId="0" applyNumberFormat="1" applyFont="1" applyFill="1" applyBorder="1" applyAlignment="1" applyProtection="1">
      <alignment horizontal="center"/>
      <protection locked="0"/>
    </xf>
    <xf numFmtId="165" fontId="49" fillId="9" borderId="29" xfId="0" applyNumberFormat="1" applyFont="1" applyFill="1" applyBorder="1" applyAlignment="1" applyProtection="1">
      <alignment horizontal="center"/>
      <protection locked="0"/>
    </xf>
    <xf numFmtId="2" fontId="0" fillId="16" borderId="22" xfId="0" applyNumberFormat="1" applyFill="1" applyBorder="1" applyAlignment="1">
      <alignment horizontal="center" vertical="center"/>
    </xf>
    <xf numFmtId="2" fontId="0" fillId="16" borderId="23" xfId="0" applyNumberFormat="1" applyFill="1" applyBorder="1" applyAlignment="1">
      <alignment horizontal="center" vertical="center"/>
    </xf>
    <xf numFmtId="164" fontId="5" fillId="16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horizontal="center" vertical="center"/>
    </xf>
    <xf numFmtId="49" fontId="50" fillId="15" borderId="24" xfId="0" applyNumberFormat="1" applyFont="1" applyFill="1" applyBorder="1" applyAlignment="1">
      <alignment horizontal="center"/>
    </xf>
    <xf numFmtId="49" fontId="50" fillId="15" borderId="25" xfId="0" applyNumberFormat="1" applyFont="1" applyFill="1" applyBorder="1" applyAlignment="1">
      <alignment horizontal="center"/>
    </xf>
    <xf numFmtId="49" fontId="50" fillId="15" borderId="28" xfId="0" applyNumberFormat="1" applyFont="1" applyFill="1" applyBorder="1"/>
    <xf numFmtId="49" fontId="50" fillId="15" borderId="29" xfId="0" applyNumberFormat="1" applyFont="1" applyFill="1" applyBorder="1"/>
  </cellXfs>
  <cellStyles count="1">
    <cellStyle name="Обычный" xfId="0" builtinId="0"/>
  </cellStyles>
  <dxfs count="23"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  <dxf>
      <font>
        <b/>
        <i/>
        <color rgb="FFFF000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CC66"/>
      <color rgb="FFFFFF99"/>
      <color rgb="FFCC00CC"/>
      <color rgb="FF006600"/>
      <color rgb="FFFF0066"/>
      <color rgb="FFFFCC00"/>
      <color rgb="FF80008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608402933210858"/>
          <c:y val="0.11728857391037072"/>
          <c:w val="0.65417512475435002"/>
          <c:h val="0.5761812224159573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'Диаметр-Мощ-Тяга-Обороты'!$AV$1</c:f>
              <c:strCache>
                <c:ptCount val="1"/>
                <c:pt idx="0">
                  <c:v>D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34925">
                <a:solidFill>
                  <a:srgbClr val="FF0000"/>
                </a:solidFill>
                <a:prstDash val="sysDash"/>
              </a:ln>
            </c:spPr>
            <c:trendlineType val="power"/>
            <c:forward val="2000"/>
            <c:backward val="1500"/>
            <c:dispRSqr val="0"/>
            <c:dispEq val="0"/>
          </c:trendline>
          <c:xVal>
            <c:numRef>
              <c:f>'Диаметр-Мощ-Тяга-Обороты'!$AU$2:$AU$6</c:f>
              <c:numCache>
                <c:formatCode>General</c:formatCode>
                <c:ptCount val="5"/>
                <c:pt idx="1">
                  <c:v>2000</c:v>
                </c:pt>
                <c:pt idx="2">
                  <c:v>2250</c:v>
                </c:pt>
                <c:pt idx="3">
                  <c:v>4000</c:v>
                </c:pt>
                <c:pt idx="4">
                  <c:v>4500</c:v>
                </c:pt>
              </c:numCache>
            </c:numRef>
          </c:xVal>
          <c:yVal>
            <c:numRef>
              <c:f>'Диаметр-Мощ-Тяга-Обороты'!$AV$2:$AV$6</c:f>
              <c:numCache>
                <c:formatCode>General</c:formatCode>
                <c:ptCount val="5"/>
                <c:pt idx="1">
                  <c:v>2.27</c:v>
                </c:pt>
                <c:pt idx="2">
                  <c:v>2</c:v>
                </c:pt>
                <c:pt idx="3">
                  <c:v>1.1299999999999999</c:v>
                </c:pt>
                <c:pt idx="4">
                  <c:v>1</c:v>
                </c:pt>
              </c:numCache>
            </c:numRef>
          </c:yVal>
          <c:smooth val="1"/>
        </c:ser>
        <c:ser>
          <c:idx val="1"/>
          <c:order val="1"/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'Диаметр-Мощ-Тяга-Обороты'!$AS$3:$AS$4</c:f>
              <c:numCache>
                <c:formatCode>General</c:formatCode>
                <c:ptCount val="2"/>
                <c:pt idx="0">
                  <c:v>0</c:v>
                </c:pt>
                <c:pt idx="1">
                  <c:v>3500</c:v>
                </c:pt>
              </c:numCache>
            </c:numRef>
          </c:xVal>
          <c:yVal>
            <c:numRef>
              <c:f>'Диаметр-Мощ-Тяга-Обороты'!$AT$3:$AT$4</c:f>
              <c:numCache>
                <c:formatCode>0.00</c:formatCode>
                <c:ptCount val="2"/>
                <c:pt idx="0">
                  <c:v>1.29</c:v>
                </c:pt>
                <c:pt idx="1">
                  <c:v>1.29</c:v>
                </c:pt>
              </c:numCache>
            </c:numRef>
          </c:yVal>
          <c:smooth val="1"/>
        </c:ser>
        <c:ser>
          <c:idx val="2"/>
          <c:order val="2"/>
          <c:spPr>
            <a:ln w="28575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'Диаметр-Мощ-Тяга-Обороты'!$AS$4:$AS$5</c:f>
              <c:numCache>
                <c:formatCode>General</c:formatCode>
                <c:ptCount val="2"/>
                <c:pt idx="0">
                  <c:v>3500</c:v>
                </c:pt>
                <c:pt idx="1">
                  <c:v>3500</c:v>
                </c:pt>
              </c:numCache>
            </c:numRef>
          </c:xVal>
          <c:yVal>
            <c:numRef>
              <c:f>'Диаметр-Мощ-Тяга-Обороты'!$AT$4:$AT$5</c:f>
              <c:numCache>
                <c:formatCode>General</c:formatCode>
                <c:ptCount val="2"/>
                <c:pt idx="0" formatCode="0.00">
                  <c:v>1.29</c:v>
                </c:pt>
                <c:pt idx="1">
                  <c:v>0</c:v>
                </c:pt>
              </c:numCache>
            </c:numRef>
          </c:yVal>
          <c:smooth val="1"/>
        </c:ser>
        <c:ser>
          <c:idx val="3"/>
          <c:order val="3"/>
          <c:spPr>
            <a:ln w="2857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'Диаметр-Мощ-Тяга-Обороты'!$AS$7:$AS$8</c:f>
              <c:numCache>
                <c:formatCode>0</c:formatCode>
                <c:ptCount val="2"/>
                <c:pt idx="0" formatCode="General">
                  <c:v>0</c:v>
                </c:pt>
                <c:pt idx="1">
                  <c:v>3002.2321407585109</c:v>
                </c:pt>
              </c:numCache>
            </c:numRef>
          </c:xVal>
          <c:yVal>
            <c:numRef>
              <c:f>'Диаметр-Мощ-Тяга-Обороты'!$AT$7:$AT$8</c:f>
              <c:numCache>
                <c:formatCode>0.00</c:formatCode>
                <c:ptCount val="2"/>
                <c:pt idx="0">
                  <c:v>1.5</c:v>
                </c:pt>
                <c:pt idx="1">
                  <c:v>1.5</c:v>
                </c:pt>
              </c:numCache>
            </c:numRef>
          </c:yVal>
          <c:smooth val="1"/>
        </c:ser>
        <c:ser>
          <c:idx val="4"/>
          <c:order val="4"/>
          <c:spPr>
            <a:ln w="25400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'Диаметр-Мощ-Тяга-Обороты'!$AS$8:$AS$9</c:f>
              <c:numCache>
                <c:formatCode>0</c:formatCode>
                <c:ptCount val="2"/>
                <c:pt idx="0">
                  <c:v>3002.2321407585109</c:v>
                </c:pt>
                <c:pt idx="1">
                  <c:v>3002.2321407585109</c:v>
                </c:pt>
              </c:numCache>
            </c:numRef>
          </c:xVal>
          <c:yVal>
            <c:numRef>
              <c:f>'Диаметр-Мощ-Тяга-Обороты'!$AT$8:$AT$9</c:f>
              <c:numCache>
                <c:formatCode>General</c:formatCode>
                <c:ptCount val="2"/>
                <c:pt idx="0" formatCode="0.00">
                  <c:v>1.5</c:v>
                </c:pt>
                <c:pt idx="1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180224"/>
        <c:axId val="191946752"/>
      </c:scatterChart>
      <c:valAx>
        <c:axId val="141180224"/>
        <c:scaling>
          <c:orientation val="minMax"/>
          <c:max val="6000"/>
          <c:min val="1000"/>
        </c:scaling>
        <c:delete val="0"/>
        <c:axPos val="b"/>
        <c:majorGridlines/>
        <c:numFmt formatCode="General" sourceLinked="1"/>
        <c:majorTickMark val="out"/>
        <c:minorTickMark val="out"/>
        <c:tickLblPos val="none"/>
        <c:crossAx val="191946752"/>
        <c:crosses val="autoZero"/>
        <c:crossBetween val="midCat"/>
        <c:majorUnit val="1000"/>
        <c:minorUnit val="500"/>
      </c:valAx>
      <c:valAx>
        <c:axId val="191946752"/>
        <c:scaling>
          <c:orientation val="minMax"/>
          <c:max val="2.5"/>
          <c:min val="0"/>
        </c:scaling>
        <c:delete val="0"/>
        <c:axPos val="l"/>
        <c:majorGridlines/>
        <c:numFmt formatCode="General" sourceLinked="1"/>
        <c:majorTickMark val="out"/>
        <c:minorTickMark val="out"/>
        <c:tickLblPos val="none"/>
        <c:crossAx val="141180224"/>
        <c:crosses val="autoZero"/>
        <c:crossBetween val="midCat"/>
        <c:majorUnit val="0.5"/>
        <c:minorUnit val="0.1"/>
      </c:valAx>
      <c:spPr>
        <a:noFill/>
      </c:spPr>
    </c:plotArea>
    <c:plotVisOnly val="1"/>
    <c:dispBlanksAs val="gap"/>
    <c:showDLblsOverMax val="0"/>
  </c:chart>
  <c:spPr>
    <a:noFill/>
    <a:ln>
      <a:noFill/>
      <a:prstDash val="dash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672059610327463E-2"/>
          <c:y val="3.1554017659208303E-2"/>
          <c:w val="0.93041619117553032"/>
          <c:h val="0.8647658202672535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Тяга!$AZ$2</c:f>
              <c:strCache>
                <c:ptCount val="1"/>
                <c:pt idx="0">
                  <c:v>1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Тяга!$AZ$4:$AZ$10</c:f>
              <c:numCache>
                <c:formatCode>General</c:formatCode>
                <c:ptCount val="7"/>
                <c:pt idx="0">
                  <c:v>25</c:v>
                </c:pt>
                <c:pt idx="1">
                  <c:v>39</c:v>
                </c:pt>
                <c:pt idx="2">
                  <c:v>57</c:v>
                </c:pt>
                <c:pt idx="3">
                  <c:v>78</c:v>
                </c:pt>
                <c:pt idx="4">
                  <c:v>95</c:v>
                </c:pt>
                <c:pt idx="5">
                  <c:v>111</c:v>
                </c:pt>
                <c:pt idx="6">
                  <c:v>178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Тяга!$AX$2</c:f>
              <c:strCache>
                <c:ptCount val="1"/>
                <c:pt idx="0">
                  <c:v>1,5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Тяга!$AX$4:$AX$10</c:f>
              <c:numCache>
                <c:formatCode>General</c:formatCode>
                <c:ptCount val="7"/>
                <c:pt idx="0">
                  <c:v>32</c:v>
                </c:pt>
                <c:pt idx="1">
                  <c:v>50</c:v>
                </c:pt>
                <c:pt idx="2">
                  <c:v>79</c:v>
                </c:pt>
                <c:pt idx="3">
                  <c:v>102</c:v>
                </c:pt>
                <c:pt idx="4">
                  <c:v>125</c:v>
                </c:pt>
                <c:pt idx="5">
                  <c:v>144</c:v>
                </c:pt>
                <c:pt idx="6">
                  <c:v>230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Тяга!$AY$2</c:f>
              <c:strCache>
                <c:ptCount val="1"/>
                <c:pt idx="0">
                  <c:v>1,25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 w="9525"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Тяга!$AY$4:$AY$10</c:f>
              <c:numCache>
                <c:formatCode>General</c:formatCode>
                <c:ptCount val="7"/>
                <c:pt idx="0">
                  <c:v>28</c:v>
                </c:pt>
                <c:pt idx="1">
                  <c:v>44</c:v>
                </c:pt>
                <c:pt idx="2">
                  <c:v>66</c:v>
                </c:pt>
                <c:pt idx="3">
                  <c:v>90</c:v>
                </c:pt>
                <c:pt idx="4">
                  <c:v>109</c:v>
                </c:pt>
                <c:pt idx="5">
                  <c:v>128</c:v>
                </c:pt>
                <c:pt idx="6">
                  <c:v>205</c:v>
                </c:pt>
              </c:numCache>
            </c:numRef>
          </c:yVal>
          <c:smooth val="1"/>
        </c:ser>
        <c:ser>
          <c:idx val="4"/>
          <c:order val="3"/>
          <c:tx>
            <c:strRef>
              <c:f>Тяга!$AW$2</c:f>
              <c:strCache>
                <c:ptCount val="1"/>
                <c:pt idx="0">
                  <c:v>1,75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Тяга!$AW$4:$AW$10</c:f>
              <c:numCache>
                <c:formatCode>General</c:formatCode>
                <c:ptCount val="7"/>
                <c:pt idx="0">
                  <c:v>36</c:v>
                </c:pt>
                <c:pt idx="1">
                  <c:v>56</c:v>
                </c:pt>
                <c:pt idx="2">
                  <c:v>86</c:v>
                </c:pt>
                <c:pt idx="3">
                  <c:v>113</c:v>
                </c:pt>
                <c:pt idx="4">
                  <c:v>136</c:v>
                </c:pt>
                <c:pt idx="5">
                  <c:v>158</c:v>
                </c:pt>
                <c:pt idx="6">
                  <c:v>253</c:v>
                </c:pt>
              </c:numCache>
            </c:numRef>
          </c:yVal>
          <c:smooth val="1"/>
        </c:ser>
        <c:ser>
          <c:idx val="5"/>
          <c:order val="4"/>
          <c:tx>
            <c:strRef>
              <c:f>Тяга!$AU$2</c:f>
              <c:strCache>
                <c:ptCount val="1"/>
                <c:pt idx="0">
                  <c:v>2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Тяга!$AU$4:$AU$10</c:f>
              <c:numCache>
                <c:formatCode>General</c:formatCode>
                <c:ptCount val="7"/>
                <c:pt idx="0">
                  <c:v>40</c:v>
                </c:pt>
                <c:pt idx="1">
                  <c:v>61</c:v>
                </c:pt>
                <c:pt idx="2">
                  <c:v>92</c:v>
                </c:pt>
                <c:pt idx="3">
                  <c:v>125</c:v>
                </c:pt>
                <c:pt idx="4">
                  <c:v>150</c:v>
                </c:pt>
                <c:pt idx="5">
                  <c:v>174</c:v>
                </c:pt>
                <c:pt idx="6">
                  <c:v>279</c:v>
                </c:pt>
              </c:numCache>
            </c:numRef>
          </c:yVal>
          <c:smooth val="1"/>
        </c:ser>
        <c:ser>
          <c:idx val="6"/>
          <c:order val="5"/>
          <c:tx>
            <c:strRef>
              <c:f>Тяга!$AT$2</c:f>
              <c:strCache>
                <c:ptCount val="1"/>
                <c:pt idx="0">
                  <c:v>2,5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dPt>
            <c:idx val="0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Тяга!$AT$4:$AT$10</c:f>
              <c:numCache>
                <c:formatCode>General</c:formatCode>
                <c:ptCount val="7"/>
                <c:pt idx="0">
                  <c:v>45</c:v>
                </c:pt>
                <c:pt idx="1">
                  <c:v>70</c:v>
                </c:pt>
                <c:pt idx="2">
                  <c:v>102</c:v>
                </c:pt>
                <c:pt idx="3">
                  <c:v>143</c:v>
                </c:pt>
                <c:pt idx="4">
                  <c:v>174</c:v>
                </c:pt>
                <c:pt idx="5">
                  <c:v>210</c:v>
                </c:pt>
                <c:pt idx="6">
                  <c:v>336</c:v>
                </c:pt>
              </c:numCache>
            </c:numRef>
          </c:yVal>
          <c:smooth val="1"/>
        </c:ser>
        <c:ser>
          <c:idx val="3"/>
          <c:order val="6"/>
          <c:tx>
            <c:strRef>
              <c:f>Тяга!$BA$2</c:f>
              <c:strCache>
                <c:ptCount val="1"/>
                <c:pt idx="0">
                  <c:v>0,75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0"/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Тяга!$BA$4:$BA$10</c:f>
              <c:numCache>
                <c:formatCode>General</c:formatCode>
                <c:ptCount val="7"/>
                <c:pt idx="0">
                  <c:v>21</c:v>
                </c:pt>
                <c:pt idx="1">
                  <c:v>31</c:v>
                </c:pt>
                <c:pt idx="2">
                  <c:v>47</c:v>
                </c:pt>
                <c:pt idx="3">
                  <c:v>65</c:v>
                </c:pt>
                <c:pt idx="4">
                  <c:v>79</c:v>
                </c:pt>
                <c:pt idx="5">
                  <c:v>91</c:v>
                </c:pt>
                <c:pt idx="6">
                  <c:v>145.69999999999999</c:v>
                </c:pt>
              </c:numCache>
            </c:numRef>
          </c:yVal>
          <c:smooth val="1"/>
        </c:ser>
        <c:ser>
          <c:idx val="7"/>
          <c:order val="7"/>
          <c:spPr>
            <a:ln w="34925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'Диаметр-Мощ-Тяга-Обороты'!$AH$3:$AH$4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'Диаметр-Мощ-Тяга-Обороты'!$AI$3:$AI$4</c:f>
              <c:numCache>
                <c:formatCode>0</c:formatCode>
                <c:ptCount val="2"/>
                <c:pt idx="0">
                  <c:v>127.37951322773867</c:v>
                </c:pt>
                <c:pt idx="1">
                  <c:v>127.37951322773867</c:v>
                </c:pt>
              </c:numCache>
            </c:numRef>
          </c:yVal>
          <c:smooth val="1"/>
        </c:ser>
        <c:ser>
          <c:idx val="8"/>
          <c:order val="8"/>
          <c:spPr>
            <a:ln w="34925">
              <a:solidFill>
                <a:srgbClr val="FF000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'Диаметр-Мощ-Тяга-Обороты'!$AH$4:$AH$5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'Диаметр-Мощ-Тяга-Обороты'!$AI$4:$AI$5</c:f>
              <c:numCache>
                <c:formatCode>0</c:formatCode>
                <c:ptCount val="2"/>
                <c:pt idx="0">
                  <c:v>127.37951322773867</c:v>
                </c:pt>
                <c:pt idx="1">
                  <c:v>0</c:v>
                </c:pt>
              </c:numCache>
            </c:numRef>
          </c:yVal>
          <c:smooth val="1"/>
        </c:ser>
        <c:ser>
          <c:idx val="9"/>
          <c:order val="9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'Диаметр-Мощ-Тяга-Обороты'!$AH$7:$AH$8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'Диаметр-Мощ-Тяга-Обороты'!$AI$7:$AI$8</c:f>
              <c:numCache>
                <c:formatCode>0</c:formatCode>
                <c:ptCount val="2"/>
                <c:pt idx="0">
                  <c:v>141.78728612803459</c:v>
                </c:pt>
                <c:pt idx="1">
                  <c:v>141.78728612803459</c:v>
                </c:pt>
              </c:numCache>
            </c:numRef>
          </c:yVal>
          <c:smooth val="1"/>
        </c:ser>
        <c:ser>
          <c:idx val="10"/>
          <c:order val="10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'Диаметр-Мощ-Тяга-Обороты'!$AH$8:$AH$9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'Диаметр-Мощ-Тяга-Обороты'!$AI$8:$AI$9</c:f>
              <c:numCache>
                <c:formatCode>General</c:formatCode>
                <c:ptCount val="2"/>
                <c:pt idx="0" formatCode="0">
                  <c:v>141.78728612803459</c:v>
                </c:pt>
                <c:pt idx="1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949056"/>
        <c:axId val="191949632"/>
      </c:scatterChart>
      <c:valAx>
        <c:axId val="191949056"/>
        <c:scaling>
          <c:orientation val="minMax"/>
          <c:max val="60"/>
          <c:min val="0"/>
        </c:scaling>
        <c:delete val="0"/>
        <c:axPos val="b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General" sourceLinked="1"/>
        <c:majorTickMark val="in"/>
        <c:minorTickMark val="none"/>
        <c:tickLblPos val="low"/>
        <c:txPr>
          <a:bodyPr/>
          <a:lstStyle/>
          <a:p>
            <a:pPr>
              <a:defRPr>
                <a:solidFill>
                  <a:schemeClr val="bg1">
                    <a:lumMod val="65000"/>
                  </a:schemeClr>
                </a:solidFill>
              </a:defRPr>
            </a:pPr>
            <a:endParaRPr lang="ru-RU"/>
          </a:p>
        </c:txPr>
        <c:crossAx val="191949632"/>
        <c:crosses val="autoZero"/>
        <c:crossBetween val="midCat"/>
        <c:majorUnit val="10"/>
        <c:minorUnit val="1"/>
      </c:valAx>
      <c:valAx>
        <c:axId val="191949632"/>
        <c:scaling>
          <c:orientation val="minMax"/>
          <c:max val="300"/>
          <c:min val="0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solid"/>
            </a:ln>
          </c:spPr>
        </c:majorGridlines>
        <c:numFmt formatCode="General" sourceLinked="1"/>
        <c:majorTickMark val="out"/>
        <c:minorTickMark val="out"/>
        <c:tickLblPos val="nextTo"/>
        <c:txPr>
          <a:bodyPr/>
          <a:lstStyle/>
          <a:p>
            <a:pPr>
              <a:defRPr>
                <a:solidFill>
                  <a:schemeClr val="bg1">
                    <a:lumMod val="65000"/>
                  </a:schemeClr>
                </a:solidFill>
              </a:defRPr>
            </a:pPr>
            <a:endParaRPr lang="ru-RU"/>
          </a:p>
        </c:txPr>
        <c:crossAx val="191949056"/>
        <c:crosses val="autoZero"/>
        <c:crossBetween val="midCat"/>
        <c:majorUnit val="50"/>
        <c:minorUnit val="10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  <a:prstDash val="dash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5445729627762983E-2"/>
          <c:y val="0"/>
          <c:w val="0.92910854074447402"/>
          <c:h val="0.9292622222222222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'Мощ-Диаметр-Ширина-Шаг-Угол'!$BJ$2</c:f>
              <c:strCache>
                <c:ptCount val="1"/>
                <c:pt idx="0">
                  <c:v>2,5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'Мощ-Диаметр-Ширина-Шаг-Угол'!$BJ$4:$BJ$10</c:f>
              <c:numCache>
                <c:formatCode>0.0</c:formatCode>
                <c:ptCount val="7"/>
                <c:pt idx="3">
                  <c:v>21.8</c:v>
                </c:pt>
                <c:pt idx="4">
                  <c:v>24</c:v>
                </c:pt>
                <c:pt idx="5">
                  <c:v>25.5</c:v>
                </c:pt>
                <c:pt idx="6">
                  <c:v>26.5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'Мощ-Диаметр-Ширина-Шаг-Угол'!$BK$2</c:f>
              <c:strCache>
                <c:ptCount val="1"/>
                <c:pt idx="0">
                  <c:v>2,0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'Мощ-Диаметр-Ширина-Шаг-Угол'!$BK$4:$BK$10</c:f>
              <c:numCache>
                <c:formatCode>0.0</c:formatCode>
                <c:ptCount val="7"/>
                <c:pt idx="0">
                  <c:v>21.3</c:v>
                </c:pt>
                <c:pt idx="1">
                  <c:v>26</c:v>
                </c:pt>
                <c:pt idx="3">
                  <c:v>31.6</c:v>
                </c:pt>
                <c:pt idx="4">
                  <c:v>34.5</c:v>
                </c:pt>
                <c:pt idx="5">
                  <c:v>37</c:v>
                </c:pt>
                <c:pt idx="6">
                  <c:v>38.5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'Мощ-Диаметр-Ширина-Шаг-Угол'!$BL$2</c:f>
              <c:strCache>
                <c:ptCount val="1"/>
                <c:pt idx="0">
                  <c:v>1,750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'Мощ-Диаметр-Ширина-Шаг-Угол'!$BL$4:$BL$10</c:f>
              <c:numCache>
                <c:formatCode>0.0</c:formatCode>
                <c:ptCount val="7"/>
                <c:pt idx="0">
                  <c:v>27</c:v>
                </c:pt>
                <c:pt idx="1">
                  <c:v>33</c:v>
                </c:pt>
                <c:pt idx="3">
                  <c:v>39.5</c:v>
                </c:pt>
                <c:pt idx="4">
                  <c:v>43</c:v>
                </c:pt>
                <c:pt idx="5">
                  <c:v>47.2</c:v>
                </c:pt>
                <c:pt idx="6">
                  <c:v>49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'Мощ-Диаметр-Ширина-Шаг-Угол'!$BM$2</c:f>
              <c:strCache>
                <c:ptCount val="1"/>
                <c:pt idx="0">
                  <c:v>1,5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'Мощ-Диаметр-Ширина-Шаг-Угол'!$BM$4:$BM$10</c:f>
              <c:numCache>
                <c:formatCode>0.0</c:formatCode>
                <c:ptCount val="7"/>
                <c:pt idx="0">
                  <c:v>35</c:v>
                </c:pt>
                <c:pt idx="1">
                  <c:v>43</c:v>
                </c:pt>
                <c:pt idx="3">
                  <c:v>51.5</c:v>
                </c:pt>
                <c:pt idx="4">
                  <c:v>56.5</c:v>
                </c:pt>
                <c:pt idx="5">
                  <c:v>60.5</c:v>
                </c:pt>
                <c:pt idx="6">
                  <c:v>63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'Мощ-Диаметр-Ширина-Шаг-Угол'!$BO$2</c:f>
              <c:strCache>
                <c:ptCount val="1"/>
                <c:pt idx="0">
                  <c:v>1,25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'Мощ-Диаметр-Ширина-Шаг-Угол'!$BO$4:$BO$10</c:f>
              <c:numCache>
                <c:formatCode>0.0</c:formatCode>
                <c:ptCount val="7"/>
                <c:pt idx="0">
                  <c:v>48.5</c:v>
                </c:pt>
                <c:pt idx="1">
                  <c:v>58</c:v>
                </c:pt>
                <c:pt idx="3">
                  <c:v>69</c:v>
                </c:pt>
                <c:pt idx="4">
                  <c:v>76.5</c:v>
                </c:pt>
                <c:pt idx="5">
                  <c:v>82.5</c:v>
                </c:pt>
                <c:pt idx="6">
                  <c:v>88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'Мощ-Диаметр-Ширина-Шаг-Угол'!$BP$2</c:f>
              <c:strCache>
                <c:ptCount val="1"/>
                <c:pt idx="0">
                  <c:v>1,1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0"/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'Мощ-Диаметр-Ширина-Шаг-Угол'!$BP$4:$BP$10</c:f>
              <c:numCache>
                <c:formatCode>0.0</c:formatCode>
                <c:ptCount val="7"/>
                <c:pt idx="0">
                  <c:v>59</c:v>
                </c:pt>
                <c:pt idx="1">
                  <c:v>72.2</c:v>
                </c:pt>
                <c:pt idx="3">
                  <c:v>85.5</c:v>
                </c:pt>
                <c:pt idx="4">
                  <c:v>93.7</c:v>
                </c:pt>
                <c:pt idx="5">
                  <c:v>104</c:v>
                </c:pt>
                <c:pt idx="6">
                  <c:v>109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'Мощ-Диаметр-Ширина-Шаг-Угол'!$BQ$2</c:f>
              <c:strCache>
                <c:ptCount val="1"/>
                <c:pt idx="0">
                  <c:v>1,0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trendline>
            <c:spPr>
              <a:ln w="19050">
                <a:solidFill>
                  <a:srgbClr val="FF0000"/>
                </a:solidFill>
                <a:prstDash val="sysDash"/>
              </a:ln>
            </c:spPr>
            <c:trendlineType val="poly"/>
            <c:order val="3"/>
            <c:dispRSqr val="0"/>
            <c:dispEq val="1"/>
            <c:trendlineLbl>
              <c:layout>
                <c:manualLayout>
                  <c:x val="-0.27837739603585543"/>
                  <c:y val="-7.2553041557753793E-3"/>
                </c:manualLayout>
              </c:layout>
              <c:numFmt formatCode="General" sourceLinked="0"/>
            </c:trendlineLbl>
          </c:trendline>
          <c:xVal>
            <c:numRef>
              <c:f>'Мощ-Диаметр-Ширина-Шаг-Угол'!$BI$4:$BI$10</c:f>
              <c:numCache>
                <c:formatCode>0.0</c:formatCode>
                <c:ptCount val="7"/>
                <c:pt idx="0" formatCode="0">
                  <c:v>10</c:v>
                </c:pt>
                <c:pt idx="1">
                  <c:v>17.5</c:v>
                </c:pt>
                <c:pt idx="2" formatCode="0">
                  <c:v>20</c:v>
                </c:pt>
                <c:pt idx="3" formatCode="0">
                  <c:v>30</c:v>
                </c:pt>
                <c:pt idx="4" formatCode="0">
                  <c:v>40</c:v>
                </c:pt>
                <c:pt idx="5" formatCode="0">
                  <c:v>50</c:v>
                </c:pt>
                <c:pt idx="6" formatCode="0">
                  <c:v>60</c:v>
                </c:pt>
              </c:numCache>
            </c:numRef>
          </c:xVal>
          <c:yVal>
            <c:numRef>
              <c:f>'Мощ-Диаметр-Ширина-Шаг-Угол'!$BQ$4:$BQ$10</c:f>
              <c:numCache>
                <c:formatCode>0.0</c:formatCode>
                <c:ptCount val="7"/>
                <c:pt idx="0">
                  <c:v>70</c:v>
                </c:pt>
                <c:pt idx="1">
                  <c:v>84.6</c:v>
                </c:pt>
                <c:pt idx="3">
                  <c:v>99</c:v>
                </c:pt>
                <c:pt idx="4">
                  <c:v>109</c:v>
                </c:pt>
                <c:pt idx="5">
                  <c:v>116</c:v>
                </c:pt>
                <c:pt idx="6">
                  <c:v>122</c:v>
                </c:pt>
              </c:numCache>
            </c:numRef>
          </c:yVal>
          <c:smooth val="1"/>
        </c:ser>
        <c:ser>
          <c:idx val="7"/>
          <c:order val="7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'Мощ-Диаметр-Ширина-Шаг-Угол'!$AI$2:$AI$3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'Мощ-Диаметр-Ширина-Шаг-Угол'!$AJ$2:$AJ$3</c:f>
              <c:numCache>
                <c:formatCode>General</c:formatCode>
                <c:ptCount val="2"/>
                <c:pt idx="0">
                  <c:v>60.304000000000002</c:v>
                </c:pt>
                <c:pt idx="1">
                  <c:v>60.304000000000002</c:v>
                </c:pt>
              </c:numCache>
            </c:numRef>
          </c:yVal>
          <c:smooth val="1"/>
        </c:ser>
        <c:ser>
          <c:idx val="8"/>
          <c:order val="8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'Мощ-Диаметр-Ширина-Шаг-Угол'!$AI$3:$AI$4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'Мощ-Диаметр-Ширина-Шаг-Угол'!$AJ$3:$AJ$4</c:f>
              <c:numCache>
                <c:formatCode>General</c:formatCode>
                <c:ptCount val="2"/>
                <c:pt idx="0">
                  <c:v>60.304000000000002</c:v>
                </c:pt>
                <c:pt idx="1">
                  <c:v>0</c:v>
                </c:pt>
              </c:numCache>
            </c:numRef>
          </c:yVal>
          <c:smooth val="1"/>
        </c:ser>
        <c:ser>
          <c:idx val="9"/>
          <c:order val="9"/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'Мощ-Диаметр-Ширина-Шаг-Угол'!$AD$4:$AD$9</c:f>
              <c:numCache>
                <c:formatCode>General</c:formatCode>
                <c:ptCount val="6"/>
              </c:numCache>
            </c:numRef>
          </c:xVal>
          <c:yVal>
            <c:numRef>
              <c:f>'Мощ-Диаметр-Ширина-Шаг-Угол'!$AE$4:$AE$9</c:f>
              <c:numCache>
                <c:formatCode>General</c:formatCode>
                <c:ptCount val="6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59808"/>
        <c:axId val="193360384"/>
      </c:scatterChart>
      <c:valAx>
        <c:axId val="193359808"/>
        <c:scaling>
          <c:orientation val="minMax"/>
          <c:max val="60"/>
          <c:min val="10"/>
        </c:scaling>
        <c:delete val="0"/>
        <c:axPos val="b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numFmt formatCode="0" sourceLinked="1"/>
        <c:majorTickMark val="in"/>
        <c:minorTickMark val="none"/>
        <c:tickLblPos val="none"/>
        <c:spPr>
          <a:ln>
            <a:solidFill>
              <a:schemeClr val="bg1">
                <a:lumMod val="50000"/>
              </a:schemeClr>
            </a:solidFill>
          </a:ln>
        </c:spPr>
        <c:crossAx val="193360384"/>
        <c:crosses val="autoZero"/>
        <c:crossBetween val="midCat"/>
      </c:valAx>
      <c:valAx>
        <c:axId val="193360384"/>
        <c:scaling>
          <c:orientation val="minMax"/>
          <c:max val="120"/>
          <c:min val="20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numFmt formatCode="0.0" sourceLinked="1"/>
        <c:majorTickMark val="none"/>
        <c:minorTickMark val="none"/>
        <c:tickLblPos val="none"/>
        <c:crossAx val="193359808"/>
        <c:crosses val="autoZero"/>
        <c:crossBetween val="midCat"/>
        <c:majorUnit val="10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1708349751445337E-2"/>
          <c:y val="0"/>
          <c:w val="0.89658330049710933"/>
          <c:h val="0.93515634807323533"/>
        </c:manualLayout>
      </c:layout>
      <c:scatterChart>
        <c:scatterStyle val="lineMarker"/>
        <c:varyColors val="0"/>
        <c:ser>
          <c:idx val="1"/>
          <c:order val="0"/>
          <c:tx>
            <c:strRef>
              <c:f>'Мощ-Диаметр-Ширина-Шаг-Угол'!$AV$3</c:f>
              <c:strCache>
                <c:ptCount val="1"/>
                <c:pt idx="0">
                  <c:v>10</c:v>
                </c:pt>
              </c:strCache>
            </c:strRef>
          </c:tx>
          <c:spPr>
            <a:ln w="15875">
              <a:solidFill>
                <a:srgbClr val="FF000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B0F0"/>
              </a:solidFill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'Мощ-Диаметр-Ширина-Шаг-Угол'!$AW$3:$AX$3</c:f>
              <c:numCache>
                <c:formatCode>0.0</c:formatCode>
                <c:ptCount val="2"/>
                <c:pt idx="0">
                  <c:v>25.500000000000004</c:v>
                </c:pt>
                <c:pt idx="1">
                  <c:v>85</c:v>
                </c:pt>
              </c:numCache>
            </c:numRef>
          </c:yVal>
          <c:smooth val="0"/>
        </c:ser>
        <c:ser>
          <c:idx val="3"/>
          <c:order val="1"/>
          <c:tx>
            <c:strRef>
              <c:f>'Мощ-Диаметр-Ширина-Шаг-Угол'!$AV$23</c:f>
              <c:strCache>
                <c:ptCount val="1"/>
                <c:pt idx="0">
                  <c:v>20</c:v>
                </c:pt>
              </c:strCache>
            </c:strRef>
          </c:tx>
          <c:spPr>
            <a:ln w="19050">
              <a:solidFill>
                <a:srgbClr val="92D050"/>
              </a:solidFill>
              <a:prstDash val="solid"/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'Мощ-Диаметр-Ширина-Шаг-Угол'!$AW$23:$AX$23</c:f>
              <c:numCache>
                <c:formatCode>0.0</c:formatCode>
                <c:ptCount val="2"/>
                <c:pt idx="0">
                  <c:v>33.6</c:v>
                </c:pt>
                <c:pt idx="1">
                  <c:v>112</c:v>
                </c:pt>
              </c:numCache>
            </c:numRef>
          </c:yVal>
          <c:smooth val="0"/>
        </c:ser>
        <c:ser>
          <c:idx val="8"/>
          <c:order val="2"/>
          <c:tx>
            <c:strRef>
              <c:f>'Мощ-Диаметр-Ширина-Шаг-Угол'!$AV$123</c:f>
              <c:strCache>
                <c:ptCount val="1"/>
                <c:pt idx="0">
                  <c:v>70</c:v>
                </c:pt>
              </c:strCache>
            </c:strRef>
          </c:tx>
          <c:spPr>
            <a:ln w="15875">
              <a:solidFill>
                <a:srgbClr val="FF0066"/>
              </a:solidFill>
            </a:ln>
          </c:spPr>
          <c:marker>
            <c:symbol val="circle"/>
            <c:size val="3"/>
            <c:spPr>
              <a:solidFill>
                <a:srgbClr val="00B0F0"/>
              </a:solidFill>
            </c:spPr>
          </c:marker>
          <c:dPt>
            <c:idx val="1"/>
            <c:bubble3D val="0"/>
          </c:dPt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'Мощ-Диаметр-Ширина-Шаг-Угол'!$AW$123:$AX$123</c:f>
              <c:numCache>
                <c:formatCode>0.0</c:formatCode>
                <c:ptCount val="2"/>
                <c:pt idx="0">
                  <c:v>55.65</c:v>
                </c:pt>
                <c:pt idx="1">
                  <c:v>185.5</c:v>
                </c:pt>
              </c:numCache>
            </c:numRef>
          </c:yVal>
          <c:smooth val="0"/>
        </c:ser>
        <c:ser>
          <c:idx val="9"/>
          <c:order val="3"/>
          <c:tx>
            <c:strRef>
              <c:f>'Мощ-Диаметр-Ширина-Шаг-Угол'!$AV$103</c:f>
              <c:strCache>
                <c:ptCount val="1"/>
                <c:pt idx="0">
                  <c:v>60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'Мощ-Диаметр-Ширина-Шаг-Угол'!$AW$103:$AX$103</c:f>
              <c:numCache>
                <c:formatCode>0.0</c:formatCode>
                <c:ptCount val="2"/>
                <c:pt idx="0">
                  <c:v>50.1</c:v>
                </c:pt>
                <c:pt idx="1">
                  <c:v>167</c:v>
                </c:pt>
              </c:numCache>
            </c:numRef>
          </c:yVal>
          <c:smooth val="0"/>
        </c:ser>
        <c:ser>
          <c:idx val="10"/>
          <c:order val="4"/>
          <c:tx>
            <c:strRef>
              <c:f>'Мощ-Диаметр-Ширина-Шаг-Угол'!$AV$83</c:f>
              <c:strCache>
                <c:ptCount val="1"/>
                <c:pt idx="0">
                  <c:v>50</c:v>
                </c:pt>
              </c:strCache>
            </c:strRef>
          </c:tx>
          <c:spPr>
            <a:ln w="1270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'Мощ-Диаметр-Ширина-Шаг-Угол'!$AW$83:$AX$83</c:f>
              <c:numCache>
                <c:formatCode>0.0</c:formatCode>
                <c:ptCount val="2"/>
                <c:pt idx="0">
                  <c:v>46.05</c:v>
                </c:pt>
                <c:pt idx="1">
                  <c:v>153.5</c:v>
                </c:pt>
              </c:numCache>
            </c:numRef>
          </c:yVal>
          <c:smooth val="0"/>
        </c:ser>
        <c:ser>
          <c:idx val="11"/>
          <c:order val="5"/>
          <c:tx>
            <c:strRef>
              <c:f>'Мощ-Диаметр-Ширина-Шаг-Угол'!$AV$63</c:f>
              <c:strCache>
                <c:ptCount val="1"/>
                <c:pt idx="0">
                  <c:v>40</c:v>
                </c:pt>
              </c:strCache>
            </c:strRef>
          </c:tx>
          <c:spPr>
            <a:ln w="19050"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'Мощ-Диаметр-Ширина-Шаг-Угол'!$AW$63:$AX$63</c:f>
              <c:numCache>
                <c:formatCode>0.0</c:formatCode>
                <c:ptCount val="2"/>
                <c:pt idx="0">
                  <c:v>42.749999999999993</c:v>
                </c:pt>
                <c:pt idx="1">
                  <c:v>142.5</c:v>
                </c:pt>
              </c:numCache>
            </c:numRef>
          </c:yVal>
          <c:smooth val="0"/>
        </c:ser>
        <c:ser>
          <c:idx val="12"/>
          <c:order val="6"/>
          <c:tx>
            <c:strRef>
              <c:f>'Мощ-Диаметр-Ширина-Шаг-Угол'!$AV$43</c:f>
              <c:strCache>
                <c:ptCount val="1"/>
                <c:pt idx="0">
                  <c:v>30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'Мощ-Диаметр-Ширина-Шаг-Угол'!$AW$43:$AX$43</c:f>
              <c:numCache>
                <c:formatCode>0.0</c:formatCode>
                <c:ptCount val="2"/>
                <c:pt idx="0">
                  <c:v>39</c:v>
                </c:pt>
                <c:pt idx="1">
                  <c:v>130</c:v>
                </c:pt>
              </c:numCache>
            </c:numRef>
          </c:yVal>
          <c:smooth val="0"/>
        </c:ser>
        <c:ser>
          <c:idx val="0"/>
          <c:order val="7"/>
          <c:tx>
            <c:strRef>
              <c:f>'Мощ-Диаметр-Ширина-Шаг-Угол'!$AV$8</c:f>
              <c:strCache>
                <c:ptCount val="1"/>
                <c:pt idx="0">
                  <c:v>12,5</c:v>
                </c:pt>
              </c:strCache>
            </c:strRef>
          </c:tx>
          <c:spPr>
            <a:ln w="15875">
              <a:solidFill>
                <a:schemeClr val="accent1">
                  <a:shade val="95000"/>
                  <a:satMod val="105000"/>
                </a:schemeClr>
              </a:solidFill>
            </a:ln>
          </c:spPr>
          <c:marker>
            <c:symbol val="circle"/>
            <c:size val="3"/>
            <c:spPr>
              <a:noFill/>
            </c:spPr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'Мощ-Диаметр-Ширина-Шаг-Угол'!$AW$8:$AX$8</c:f>
              <c:numCache>
                <c:formatCode>0.0</c:formatCode>
                <c:ptCount val="2"/>
                <c:pt idx="0">
                  <c:v>27.9</c:v>
                </c:pt>
                <c:pt idx="1">
                  <c:v>93</c:v>
                </c:pt>
              </c:numCache>
            </c:numRef>
          </c:yVal>
          <c:smooth val="0"/>
        </c:ser>
        <c:ser>
          <c:idx val="4"/>
          <c:order val="8"/>
          <c:tx>
            <c:strRef>
              <c:f>'Мощ-Диаметр-Ширина-Шаг-Угол'!$AV$33</c:f>
              <c:strCache>
                <c:ptCount val="1"/>
                <c:pt idx="0">
                  <c:v>25</c:v>
                </c:pt>
              </c:strCache>
            </c:strRef>
          </c:tx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'Мощ-Диаметр-Ширина-Шаг-Угол'!$AW$33:$AX$33</c:f>
              <c:numCache>
                <c:formatCode>0.0</c:formatCode>
                <c:ptCount val="2"/>
                <c:pt idx="0">
                  <c:v>36.449999999999996</c:v>
                </c:pt>
                <c:pt idx="1">
                  <c:v>121.5</c:v>
                </c:pt>
              </c:numCache>
            </c:numRef>
          </c:yVal>
          <c:smooth val="0"/>
        </c:ser>
        <c:ser>
          <c:idx val="5"/>
          <c:order val="9"/>
          <c:tx>
            <c:strRef>
              <c:f>'Мощ-Диаметр-Ширина-Шаг-Угол'!$AV$53</c:f>
              <c:strCache>
                <c:ptCount val="1"/>
                <c:pt idx="0">
                  <c:v>35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'Мощ-Диаметр-Ширина-Шаг-Угол'!$AW$1:$AX$1</c:f>
              <c:numCache>
                <c:formatCode>General</c:formatCode>
                <c:ptCount val="2"/>
                <c:pt idx="0">
                  <c:v>150</c:v>
                </c:pt>
                <c:pt idx="1">
                  <c:v>500</c:v>
                </c:pt>
              </c:numCache>
            </c:numRef>
          </c:xVal>
          <c:yVal>
            <c:numRef>
              <c:f>'Мощ-Диаметр-Ширина-Шаг-Угол'!$AW$53:$AX$53</c:f>
              <c:numCache>
                <c:formatCode>0.0</c:formatCode>
                <c:ptCount val="2"/>
                <c:pt idx="0">
                  <c:v>40.950000000000003</c:v>
                </c:pt>
                <c:pt idx="1">
                  <c:v>136.5</c:v>
                </c:pt>
              </c:numCache>
            </c:numRef>
          </c:yVal>
          <c:smooth val="0"/>
        </c:ser>
        <c:ser>
          <c:idx val="2"/>
          <c:order val="10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'Мощ-Диаметр-Ширина-Шаг-Угол'!$AI$6:$AI$7</c:f>
              <c:numCache>
                <c:formatCode>General</c:formatCode>
                <c:ptCount val="2"/>
                <c:pt idx="0">
                  <c:v>0</c:v>
                </c:pt>
                <c:pt idx="1">
                  <c:v>300</c:v>
                </c:pt>
              </c:numCache>
            </c:numRef>
          </c:xVal>
          <c:yVal>
            <c:numRef>
              <c:f>'Мощ-Диаметр-Ширина-Шаг-Угол'!$AJ$6:$AJ$7</c:f>
              <c:numCache>
                <c:formatCode>General</c:formatCode>
                <c:ptCount val="2"/>
                <c:pt idx="0">
                  <c:v>60.304000000000002</c:v>
                </c:pt>
                <c:pt idx="1">
                  <c:v>60.304000000000002</c:v>
                </c:pt>
              </c:numCache>
            </c:numRef>
          </c:yVal>
          <c:smooth val="0"/>
        </c:ser>
        <c:ser>
          <c:idx val="6"/>
          <c:order val="11"/>
          <c:spPr>
            <a:ln w="34925"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'Мощ-Диаметр-Ширина-Шаг-Угол'!$AI$7:$AI$8</c:f>
              <c:numCache>
                <c:formatCode>General</c:formatCode>
                <c:ptCount val="2"/>
                <c:pt idx="0">
                  <c:v>300</c:v>
                </c:pt>
                <c:pt idx="1">
                  <c:v>300</c:v>
                </c:pt>
              </c:numCache>
            </c:numRef>
          </c:xVal>
          <c:yVal>
            <c:numRef>
              <c:f>'Мощ-Диаметр-Ширина-Шаг-Угол'!$AJ$7:$AJ$8</c:f>
              <c:numCache>
                <c:formatCode>General</c:formatCode>
                <c:ptCount val="2"/>
                <c:pt idx="0">
                  <c:v>60.304000000000002</c:v>
                </c:pt>
                <c:pt idx="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362688"/>
        <c:axId val="193363264"/>
      </c:scatterChart>
      <c:valAx>
        <c:axId val="193362688"/>
        <c:scaling>
          <c:orientation val="maxMin"/>
          <c:max val="500"/>
          <c:min val="100"/>
        </c:scaling>
        <c:delete val="0"/>
        <c:axPos val="b"/>
        <c:majorGridlines/>
        <c:numFmt formatCode="General" sourceLinked="1"/>
        <c:majorTickMark val="out"/>
        <c:minorTickMark val="none"/>
        <c:tickLblPos val="none"/>
        <c:spPr>
          <a:ln>
            <a:solidFill>
              <a:schemeClr val="bg1">
                <a:lumMod val="50000"/>
              </a:schemeClr>
            </a:solidFill>
          </a:ln>
        </c:spPr>
        <c:crossAx val="193363264"/>
        <c:crossesAt val="0"/>
        <c:crossBetween val="midCat"/>
        <c:majorUnit val="50"/>
      </c:valAx>
      <c:valAx>
        <c:axId val="193363264"/>
        <c:scaling>
          <c:orientation val="minMax"/>
          <c:max val="120"/>
          <c:min val="20"/>
        </c:scaling>
        <c:delete val="0"/>
        <c:axPos val="r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0.0" sourceLinked="1"/>
        <c:majorTickMark val="none"/>
        <c:minorTickMark val="none"/>
        <c:tickLblPos val="none"/>
        <c:crossAx val="193362688"/>
        <c:crossesAt val="1000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0,147'!$P$4:$P$25</c:f>
              <c:numCache>
                <c:formatCode>0.0</c:formatCode>
                <c:ptCount val="22"/>
                <c:pt idx="0">
                  <c:v>-32.299999999999997</c:v>
                </c:pt>
                <c:pt idx="1">
                  <c:v>-29</c:v>
                </c:pt>
                <c:pt idx="2">
                  <c:v>-24.7</c:v>
                </c:pt>
                <c:pt idx="3">
                  <c:v>-19.399999999999999</c:v>
                </c:pt>
                <c:pt idx="4">
                  <c:v>-13.3</c:v>
                </c:pt>
                <c:pt idx="5">
                  <c:v>-6.2</c:v>
                </c:pt>
                <c:pt idx="6">
                  <c:v>1.6</c:v>
                </c:pt>
                <c:pt idx="7">
                  <c:v>10.4</c:v>
                </c:pt>
                <c:pt idx="8">
                  <c:v>19.2</c:v>
                </c:pt>
                <c:pt idx="9">
                  <c:v>23.3</c:v>
                </c:pt>
                <c:pt idx="10">
                  <c:v>31.20693511163736</c:v>
                </c:pt>
                <c:pt idx="11">
                  <c:v>33.5</c:v>
                </c:pt>
                <c:pt idx="12">
                  <c:v>32.299999999999997</c:v>
                </c:pt>
                <c:pt idx="13">
                  <c:v>28.5</c:v>
                </c:pt>
                <c:pt idx="14">
                  <c:v>24.6</c:v>
                </c:pt>
                <c:pt idx="15">
                  <c:v>19.8</c:v>
                </c:pt>
                <c:pt idx="16">
                  <c:v>14.2</c:v>
                </c:pt>
                <c:pt idx="17">
                  <c:v>7.7</c:v>
                </c:pt>
                <c:pt idx="18">
                  <c:v>0.4</c:v>
                </c:pt>
                <c:pt idx="19">
                  <c:v>-7.9</c:v>
                </c:pt>
                <c:pt idx="20">
                  <c:v>-17.2</c:v>
                </c:pt>
                <c:pt idx="21">
                  <c:v>-31.20693511163736</c:v>
                </c:pt>
              </c:numCache>
            </c:numRef>
          </c:xVal>
          <c:yVal>
            <c:numRef>
              <c:f>'Сеч 0,147'!$Q$4:$Q$25</c:f>
              <c:numCache>
                <c:formatCode>0.0</c:formatCode>
                <c:ptCount val="22"/>
                <c:pt idx="0">
                  <c:v>-19.399999999999999</c:v>
                </c:pt>
                <c:pt idx="1">
                  <c:v>-9.9</c:v>
                </c:pt>
                <c:pt idx="2">
                  <c:v>-1.3</c:v>
                </c:pt>
                <c:pt idx="3">
                  <c:v>6.3</c:v>
                </c:pt>
                <c:pt idx="4">
                  <c:v>13.2</c:v>
                </c:pt>
                <c:pt idx="5">
                  <c:v>19.2</c:v>
                </c:pt>
                <c:pt idx="6">
                  <c:v>24.5</c:v>
                </c:pt>
                <c:pt idx="7">
                  <c:v>29.4</c:v>
                </c:pt>
                <c:pt idx="8">
                  <c:v>33.299999999999997</c:v>
                </c:pt>
                <c:pt idx="9">
                  <c:v>34.700000000000003</c:v>
                </c:pt>
                <c:pt idx="10">
                  <c:v>33.111587109923555</c:v>
                </c:pt>
                <c:pt idx="11">
                  <c:v>25.6</c:v>
                </c:pt>
                <c:pt idx="12">
                  <c:v>21.3</c:v>
                </c:pt>
                <c:pt idx="13">
                  <c:v>11.8</c:v>
                </c:pt>
                <c:pt idx="14">
                  <c:v>3.3</c:v>
                </c:pt>
                <c:pt idx="15">
                  <c:v>-4.8</c:v>
                </c:pt>
                <c:pt idx="16">
                  <c:v>-12.2</c:v>
                </c:pt>
                <c:pt idx="17">
                  <c:v>-18.7</c:v>
                </c:pt>
                <c:pt idx="18">
                  <c:v>-24.5</c:v>
                </c:pt>
                <c:pt idx="19">
                  <c:v>-29.3</c:v>
                </c:pt>
                <c:pt idx="20">
                  <c:v>-33.200000000000003</c:v>
                </c:pt>
                <c:pt idx="21">
                  <c:v>-33.111587109923555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0,147'!$AG$37</c:f>
              <c:strCache>
                <c:ptCount val="1"/>
                <c:pt idx="0">
                  <c:v>r1=6,8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0,147'!$P$36:$P$44</c:f>
              <c:numCache>
                <c:formatCode>0.00</c:formatCode>
                <c:ptCount val="9"/>
                <c:pt idx="0">
                  <c:v>31.20693511163736</c:v>
                </c:pt>
                <c:pt idx="1">
                  <c:v>26.341762656760505</c:v>
                </c:pt>
                <c:pt idx="2">
                  <c:v>21.594496625777705</c:v>
                </c:pt>
                <c:pt idx="3">
                  <c:v>19.746021075445604</c:v>
                </c:pt>
                <c:pt idx="4">
                  <c:v>21.879147913433666</c:v>
                </c:pt>
                <c:pt idx="5">
                  <c:v>26.744320368310529</c:v>
                </c:pt>
                <c:pt idx="6">
                  <c:v>31.491586399293322</c:v>
                </c:pt>
                <c:pt idx="7">
                  <c:v>33.340061949625422</c:v>
                </c:pt>
                <c:pt idx="8">
                  <c:v>31.20693511163736</c:v>
                </c:pt>
              </c:numCache>
            </c:numRef>
          </c:xVal>
          <c:yVal>
            <c:numRef>
              <c:f>'Сеч 0,147'!$Q$36:$Q$44</c:f>
              <c:numCache>
                <c:formatCode>0.00</c:formatCode>
                <c:ptCount val="9"/>
                <c:pt idx="0">
                  <c:v>33.111587109923555</c:v>
                </c:pt>
                <c:pt idx="1">
                  <c:v>34.960062660255652</c:v>
                </c:pt>
                <c:pt idx="2">
                  <c:v>32.8269358222676</c:v>
                </c:pt>
                <c:pt idx="3">
                  <c:v>27.961763367390741</c:v>
                </c:pt>
                <c:pt idx="4">
                  <c:v>23.214497336407945</c:v>
                </c:pt>
                <c:pt idx="5">
                  <c:v>21.366021786075837</c:v>
                </c:pt>
                <c:pt idx="6">
                  <c:v>23.499148624063899</c:v>
                </c:pt>
                <c:pt idx="7">
                  <c:v>28.364321078940751</c:v>
                </c:pt>
                <c:pt idx="8">
                  <c:v>33.111587109923555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0,147'!$AG$46</c:f>
              <c:strCache>
                <c:ptCount val="1"/>
                <c:pt idx="0">
                  <c:v>r2=10,2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0,147'!$P$45:$P$53</c:f>
              <c:numCache>
                <c:formatCode>0.00</c:formatCode>
                <c:ptCount val="9"/>
                <c:pt idx="0">
                  <c:v>-17.215254314331816</c:v>
                </c:pt>
                <c:pt idx="1">
                  <c:v>-24.513012996647102</c:v>
                </c:pt>
                <c:pt idx="2">
                  <c:v>-31.633912043121288</c:v>
                </c:pt>
                <c:pt idx="3">
                  <c:v>-34.406625368619459</c:v>
                </c:pt>
                <c:pt idx="4">
                  <c:v>-31.20693511163736</c:v>
                </c:pt>
                <c:pt idx="5">
                  <c:v>-23.909176429322073</c:v>
                </c:pt>
                <c:pt idx="6">
                  <c:v>-16.788277382847877</c:v>
                </c:pt>
                <c:pt idx="7">
                  <c:v>-14.015564057349724</c:v>
                </c:pt>
                <c:pt idx="8">
                  <c:v>-17.215254314331816</c:v>
                </c:pt>
              </c:numCache>
            </c:numRef>
          </c:xVal>
          <c:yVal>
            <c:numRef>
              <c:f>'Сеч 0,147'!$Q$45:$Q$53</c:f>
              <c:numCache>
                <c:formatCode>0.00</c:formatCode>
                <c:ptCount val="9"/>
                <c:pt idx="0">
                  <c:v>-18.265952449650133</c:v>
                </c:pt>
                <c:pt idx="1">
                  <c:v>-15.49323912415198</c:v>
                </c:pt>
                <c:pt idx="2">
                  <c:v>-18.692929381134068</c:v>
                </c:pt>
                <c:pt idx="3">
                  <c:v>-25.990688063449362</c:v>
                </c:pt>
                <c:pt idx="4">
                  <c:v>-33.111587109923555</c:v>
                </c:pt>
                <c:pt idx="5">
                  <c:v>-35.884300435421707</c:v>
                </c:pt>
                <c:pt idx="6">
                  <c:v>-32.684610178439605</c:v>
                </c:pt>
                <c:pt idx="7">
                  <c:v>-25.386851496124326</c:v>
                </c:pt>
                <c:pt idx="8">
                  <c:v>-18.265952449650133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0,147'!$P$26:$P$27</c:f>
              <c:numCache>
                <c:formatCode>0.00</c:formatCode>
                <c:ptCount val="2"/>
                <c:pt idx="0">
                  <c:v>31.20693511163736</c:v>
                </c:pt>
                <c:pt idx="1">
                  <c:v>-31.20693511163736</c:v>
                </c:pt>
              </c:numCache>
            </c:numRef>
          </c:xVal>
          <c:yVal>
            <c:numRef>
              <c:f>'Сеч 0,147'!$Q$26:$Q$27</c:f>
              <c:numCache>
                <c:formatCode>0.00</c:formatCode>
                <c:ptCount val="2"/>
                <c:pt idx="0">
                  <c:v>33.111587109923555</c:v>
                </c:pt>
                <c:pt idx="1">
                  <c:v>-33.111587109923555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66592"/>
        <c:axId val="163367168"/>
      </c:scatterChart>
      <c:valAx>
        <c:axId val="163366592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63367168"/>
        <c:crosses val="autoZero"/>
        <c:crossBetween val="midCat"/>
        <c:majorUnit val="10"/>
        <c:minorUnit val="10"/>
      </c:valAx>
      <c:valAx>
        <c:axId val="163367168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63366592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0,3'!$P$4:$P$25</c:f>
              <c:numCache>
                <c:formatCode>0.0</c:formatCode>
                <c:ptCount val="22"/>
                <c:pt idx="0">
                  <c:v>-35.299999999999997</c:v>
                </c:pt>
                <c:pt idx="1">
                  <c:v>-28.6</c:v>
                </c:pt>
                <c:pt idx="2">
                  <c:v>-21.8</c:v>
                </c:pt>
                <c:pt idx="3">
                  <c:v>-14.8</c:v>
                </c:pt>
                <c:pt idx="4">
                  <c:v>-7.6</c:v>
                </c:pt>
                <c:pt idx="5">
                  <c:v>0</c:v>
                </c:pt>
                <c:pt idx="6">
                  <c:v>8.1</c:v>
                </c:pt>
                <c:pt idx="7">
                  <c:v>16.899999999999999</c:v>
                </c:pt>
                <c:pt idx="8">
                  <c:v>26.6</c:v>
                </c:pt>
                <c:pt idx="9">
                  <c:v>32</c:v>
                </c:pt>
                <c:pt idx="10">
                  <c:v>38.913875940833705</c:v>
                </c:pt>
                <c:pt idx="11">
                  <c:v>37.700000000000003</c:v>
                </c:pt>
                <c:pt idx="12">
                  <c:v>36.799999999999997</c:v>
                </c:pt>
                <c:pt idx="13">
                  <c:v>29</c:v>
                </c:pt>
                <c:pt idx="14">
                  <c:v>21</c:v>
                </c:pt>
                <c:pt idx="15">
                  <c:v>12.8</c:v>
                </c:pt>
                <c:pt idx="16">
                  <c:v>4.4000000000000004</c:v>
                </c:pt>
                <c:pt idx="17">
                  <c:v>-4.2</c:v>
                </c:pt>
                <c:pt idx="18">
                  <c:v>-12.5</c:v>
                </c:pt>
                <c:pt idx="19">
                  <c:v>-21</c:v>
                </c:pt>
                <c:pt idx="20">
                  <c:v>-29.6</c:v>
                </c:pt>
                <c:pt idx="21">
                  <c:v>-41.216118394304921</c:v>
                </c:pt>
              </c:numCache>
            </c:numRef>
          </c:xVal>
          <c:yVal>
            <c:numRef>
              <c:f>'Сеч 0,3'!$Q$4:$Q$25</c:f>
              <c:numCache>
                <c:formatCode>0.0</c:formatCode>
                <c:ptCount val="22"/>
                <c:pt idx="0">
                  <c:v>-11.8</c:v>
                </c:pt>
                <c:pt idx="1">
                  <c:v>-4.7</c:v>
                </c:pt>
                <c:pt idx="2">
                  <c:v>2</c:v>
                </c:pt>
                <c:pt idx="3">
                  <c:v>8.6</c:v>
                </c:pt>
                <c:pt idx="4">
                  <c:v>14.6</c:v>
                </c:pt>
                <c:pt idx="5">
                  <c:v>20</c:v>
                </c:pt>
                <c:pt idx="6">
                  <c:v>24.4</c:v>
                </c:pt>
                <c:pt idx="7">
                  <c:v>27.4</c:v>
                </c:pt>
                <c:pt idx="8">
                  <c:v>28.8</c:v>
                </c:pt>
                <c:pt idx="9">
                  <c:v>28.7</c:v>
                </c:pt>
                <c:pt idx="10">
                  <c:v>24.873071397577885</c:v>
                </c:pt>
                <c:pt idx="11">
                  <c:v>18.8</c:v>
                </c:pt>
                <c:pt idx="12">
                  <c:v>16.5</c:v>
                </c:pt>
                <c:pt idx="13">
                  <c:v>10</c:v>
                </c:pt>
                <c:pt idx="14">
                  <c:v>4.3</c:v>
                </c:pt>
                <c:pt idx="15">
                  <c:v>-0.7</c:v>
                </c:pt>
                <c:pt idx="16">
                  <c:v>-4.8</c:v>
                </c:pt>
                <c:pt idx="17">
                  <c:v>-8.9</c:v>
                </c:pt>
                <c:pt idx="18">
                  <c:v>-12.9</c:v>
                </c:pt>
                <c:pt idx="19">
                  <c:v>-16.5</c:v>
                </c:pt>
                <c:pt idx="20">
                  <c:v>-20</c:v>
                </c:pt>
                <c:pt idx="21">
                  <c:v>-20.444882914783381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0,3'!$AG$37</c:f>
              <c:strCache>
                <c:ptCount val="1"/>
                <c:pt idx="0">
                  <c:v>r1=5,7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0,3'!$P$36:$P$44</c:f>
              <c:numCache>
                <c:formatCode>0.00</c:formatCode>
                <c:ptCount val="9"/>
                <c:pt idx="0">
                  <c:v>38.913875940833705</c:v>
                </c:pt>
                <c:pt idx="1">
                  <c:v>35.573396244298799</c:v>
                </c:pt>
                <c:pt idx="2">
                  <c:v>31.227208915262484</c:v>
                </c:pt>
                <c:pt idx="3">
                  <c:v>28.421251546460127</c:v>
                </c:pt>
                <c:pt idx="4">
                  <c:v>28.799215909095444</c:v>
                </c:pt>
                <c:pt idx="5">
                  <c:v>32.139695605630351</c:v>
                </c:pt>
                <c:pt idx="6">
                  <c:v>36.48588293466667</c:v>
                </c:pt>
                <c:pt idx="7">
                  <c:v>39.291840303469016</c:v>
                </c:pt>
                <c:pt idx="8">
                  <c:v>38.913875940833705</c:v>
                </c:pt>
              </c:numCache>
            </c:numRef>
          </c:xVal>
          <c:yVal>
            <c:numRef>
              <c:f>'Сеч 0,3'!$Q$36:$Q$44</c:f>
              <c:numCache>
                <c:formatCode>0.00</c:formatCode>
                <c:ptCount val="9"/>
                <c:pt idx="0">
                  <c:v>24.873071397577885</c:v>
                </c:pt>
                <c:pt idx="1">
                  <c:v>27.67902876638022</c:v>
                </c:pt>
                <c:pt idx="2">
                  <c:v>27.301064403744906</c:v>
                </c:pt>
                <c:pt idx="3">
                  <c:v>23.96058470721</c:v>
                </c:pt>
                <c:pt idx="4">
                  <c:v>19.614397378173681</c:v>
                </c:pt>
                <c:pt idx="5">
                  <c:v>16.808440009371338</c:v>
                </c:pt>
                <c:pt idx="6">
                  <c:v>17.186404372006653</c:v>
                </c:pt>
                <c:pt idx="7">
                  <c:v>20.526884068541566</c:v>
                </c:pt>
                <c:pt idx="8">
                  <c:v>24.873071397577885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0,3'!$AG$46</c:f>
              <c:strCache>
                <c:ptCount val="1"/>
                <c:pt idx="0">
                  <c:v>r2=3,4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0,3'!$P$45:$P$53</c:f>
              <c:numCache>
                <c:formatCode>0.00</c:formatCode>
                <c:ptCount val="9"/>
                <c:pt idx="0">
                  <c:v>-35.182812410461061</c:v>
                </c:pt>
                <c:pt idx="1">
                  <c:v>-37.175379246990644</c:v>
                </c:pt>
                <c:pt idx="2">
                  <c:v>-39.767841864310547</c:v>
                </c:pt>
                <c:pt idx="3">
                  <c:v>-41.441570821140026</c:v>
                </c:pt>
                <c:pt idx="4">
                  <c:v>-41.216118394304921</c:v>
                </c:pt>
                <c:pt idx="5">
                  <c:v>-39.22355155777533</c:v>
                </c:pt>
                <c:pt idx="6">
                  <c:v>-36.631088940455427</c:v>
                </c:pt>
                <c:pt idx="7">
                  <c:v>-34.957359983625942</c:v>
                </c:pt>
                <c:pt idx="8">
                  <c:v>-35.182812410461061</c:v>
                </c:pt>
              </c:numCache>
            </c:numRef>
          </c:xVal>
          <c:yVal>
            <c:numRef>
              <c:f>'Сеч 0,3'!$Q$45:$Q$53</c:f>
              <c:numCache>
                <c:formatCode>0.00</c:formatCode>
                <c:ptCount val="9"/>
                <c:pt idx="0">
                  <c:v>-17.308129990928251</c:v>
                </c:pt>
                <c:pt idx="1">
                  <c:v>-15.634401034098778</c:v>
                </c:pt>
                <c:pt idx="2">
                  <c:v>-15.859853460933881</c:v>
                </c:pt>
                <c:pt idx="3">
                  <c:v>-17.852420297463478</c:v>
                </c:pt>
                <c:pt idx="4">
                  <c:v>-20.444882914783381</c:v>
                </c:pt>
                <c:pt idx="5">
                  <c:v>-22.118611871612853</c:v>
                </c:pt>
                <c:pt idx="6">
                  <c:v>-21.893159444777751</c:v>
                </c:pt>
                <c:pt idx="7">
                  <c:v>-19.900592608248154</c:v>
                </c:pt>
                <c:pt idx="8">
                  <c:v>-17.308129990928251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0,3'!$P$26:$P$27</c:f>
              <c:numCache>
                <c:formatCode>0.00</c:formatCode>
                <c:ptCount val="2"/>
                <c:pt idx="0">
                  <c:v>38.913875940833705</c:v>
                </c:pt>
                <c:pt idx="1">
                  <c:v>-41.216118394304921</c:v>
                </c:pt>
              </c:numCache>
            </c:numRef>
          </c:xVal>
          <c:yVal>
            <c:numRef>
              <c:f>'Сеч 0,3'!$Q$26:$Q$27</c:f>
              <c:numCache>
                <c:formatCode>0.00</c:formatCode>
                <c:ptCount val="2"/>
                <c:pt idx="0">
                  <c:v>24.873071397577885</c:v>
                </c:pt>
                <c:pt idx="1">
                  <c:v>-20.444882914783381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919744"/>
        <c:axId val="193920320"/>
      </c:scatterChart>
      <c:valAx>
        <c:axId val="193919744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920320"/>
        <c:crosses val="autoZero"/>
        <c:crossBetween val="midCat"/>
        <c:majorUnit val="10"/>
        <c:minorUnit val="10"/>
      </c:valAx>
      <c:valAx>
        <c:axId val="193920320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919744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0,45'!$P$4:$P$25</c:f>
              <c:numCache>
                <c:formatCode>0.0</c:formatCode>
                <c:ptCount val="22"/>
                <c:pt idx="0">
                  <c:v>-44.3</c:v>
                </c:pt>
                <c:pt idx="1">
                  <c:v>-35</c:v>
                </c:pt>
                <c:pt idx="2">
                  <c:v>-25.5</c:v>
                </c:pt>
                <c:pt idx="3">
                  <c:v>-15.8</c:v>
                </c:pt>
                <c:pt idx="4">
                  <c:v>-5.8</c:v>
                </c:pt>
                <c:pt idx="5">
                  <c:v>4.4000000000000004</c:v>
                </c:pt>
                <c:pt idx="6">
                  <c:v>14.8</c:v>
                </c:pt>
                <c:pt idx="7">
                  <c:v>25.6</c:v>
                </c:pt>
                <c:pt idx="8">
                  <c:v>37.200000000000003</c:v>
                </c:pt>
                <c:pt idx="9">
                  <c:v>43.5</c:v>
                </c:pt>
                <c:pt idx="10">
                  <c:v>50.641948278923529</c:v>
                </c:pt>
                <c:pt idx="11">
                  <c:v>47.2</c:v>
                </c:pt>
                <c:pt idx="12">
                  <c:v>42</c:v>
                </c:pt>
                <c:pt idx="13">
                  <c:v>31.5</c:v>
                </c:pt>
                <c:pt idx="14">
                  <c:v>21.1</c:v>
                </c:pt>
                <c:pt idx="15">
                  <c:v>10.6</c:v>
                </c:pt>
                <c:pt idx="16">
                  <c:v>0.1</c:v>
                </c:pt>
                <c:pt idx="17">
                  <c:v>-10.4</c:v>
                </c:pt>
                <c:pt idx="18">
                  <c:v>-20.8</c:v>
                </c:pt>
                <c:pt idx="19">
                  <c:v>-31.3</c:v>
                </c:pt>
                <c:pt idx="20">
                  <c:v>-41.8</c:v>
                </c:pt>
                <c:pt idx="21">
                  <c:v>-53.618389840576761</c:v>
                </c:pt>
              </c:numCache>
            </c:numRef>
          </c:xVal>
          <c:yVal>
            <c:numRef>
              <c:f>'Сеч 0,45'!$Q$4:$Q$25</c:f>
              <c:numCache>
                <c:formatCode>0.0</c:formatCode>
                <c:ptCount val="22"/>
                <c:pt idx="0">
                  <c:v>-7.7</c:v>
                </c:pt>
                <c:pt idx="1">
                  <c:v>-0.8</c:v>
                </c:pt>
                <c:pt idx="2">
                  <c:v>5.7</c:v>
                </c:pt>
                <c:pt idx="3">
                  <c:v>11.5</c:v>
                </c:pt>
                <c:pt idx="4">
                  <c:v>16.5</c:v>
                </c:pt>
                <c:pt idx="5">
                  <c:v>21</c:v>
                </c:pt>
                <c:pt idx="6">
                  <c:v>24.8</c:v>
                </c:pt>
                <c:pt idx="7">
                  <c:v>27.6</c:v>
                </c:pt>
                <c:pt idx="8">
                  <c:v>28</c:v>
                </c:pt>
                <c:pt idx="9">
                  <c:v>26.7</c:v>
                </c:pt>
                <c:pt idx="10">
                  <c:v>23.361682380493612</c:v>
                </c:pt>
                <c:pt idx="11">
                  <c:v>17.399999999999999</c:v>
                </c:pt>
                <c:pt idx="12">
                  <c:v>14.6</c:v>
                </c:pt>
                <c:pt idx="13">
                  <c:v>10.9</c:v>
                </c:pt>
                <c:pt idx="14">
                  <c:v>7.3</c:v>
                </c:pt>
                <c:pt idx="15">
                  <c:v>3.7</c:v>
                </c:pt>
                <c:pt idx="16">
                  <c:v>0</c:v>
                </c:pt>
                <c:pt idx="17">
                  <c:v>-3.6</c:v>
                </c:pt>
                <c:pt idx="18">
                  <c:v>-7.2</c:v>
                </c:pt>
                <c:pt idx="19">
                  <c:v>-10.9</c:v>
                </c:pt>
                <c:pt idx="20">
                  <c:v>-14.5</c:v>
                </c:pt>
                <c:pt idx="21">
                  <c:v>-14.774243496840546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0,45'!$AG$37</c:f>
              <c:strCache>
                <c:ptCount val="1"/>
                <c:pt idx="0">
                  <c:v>r1=3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0,45'!$P$36:$P$44</c:f>
              <c:numCache>
                <c:formatCode>0.00</c:formatCode>
                <c:ptCount val="9"/>
                <c:pt idx="0">
                  <c:v>50.641948278923529</c:v>
                </c:pt>
                <c:pt idx="1">
                  <c:v>49.117011717527532</c:v>
                </c:pt>
                <c:pt idx="2">
                  <c:v>46.824913473271046</c:v>
                </c:pt>
                <c:pt idx="3">
                  <c:v>45.108333611347945</c:v>
                </c:pt>
                <c:pt idx="4">
                  <c:v>44.97282133397627</c:v>
                </c:pt>
                <c:pt idx="5">
                  <c:v>46.497757895372267</c:v>
                </c:pt>
                <c:pt idx="6">
                  <c:v>48.78985613962876</c:v>
                </c:pt>
                <c:pt idx="7">
                  <c:v>50.506436001551855</c:v>
                </c:pt>
                <c:pt idx="8">
                  <c:v>50.641948278923529</c:v>
                </c:pt>
              </c:numCache>
            </c:numRef>
          </c:xVal>
          <c:yVal>
            <c:numRef>
              <c:f>'Сеч 0,45'!$Q$36:$Q$44</c:f>
              <c:numCache>
                <c:formatCode>0.00</c:formatCode>
                <c:ptCount val="9"/>
                <c:pt idx="0">
                  <c:v>23.361682380493612</c:v>
                </c:pt>
                <c:pt idx="1">
                  <c:v>25.078262242416702</c:v>
                </c:pt>
                <c:pt idx="2">
                  <c:v>25.213774519788384</c:v>
                </c:pt>
                <c:pt idx="3">
                  <c:v>23.688837958392384</c:v>
                </c:pt>
                <c:pt idx="4">
                  <c:v>21.39673971413589</c:v>
                </c:pt>
                <c:pt idx="5">
                  <c:v>19.6801598522128</c:v>
                </c:pt>
                <c:pt idx="6">
                  <c:v>19.544647574841118</c:v>
                </c:pt>
                <c:pt idx="7">
                  <c:v>21.069584136237122</c:v>
                </c:pt>
                <c:pt idx="8">
                  <c:v>23.361682380493612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0,45'!$AG$46</c:f>
              <c:strCache>
                <c:ptCount val="1"/>
                <c:pt idx="0">
                  <c:v>r2=1,1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0,45'!$P$45:$P$53</c:f>
              <c:numCache>
                <c:formatCode>0.00</c:formatCode>
                <c:ptCount val="9"/>
                <c:pt idx="0">
                  <c:v>-51.539709960762764</c:v>
                </c:pt>
                <c:pt idx="1">
                  <c:v>-52.098853366607955</c:v>
                </c:pt>
                <c:pt idx="2">
                  <c:v>-52.939289389502008</c:v>
                </c:pt>
                <c:pt idx="3">
                  <c:v>-53.568702005540473</c:v>
                </c:pt>
                <c:pt idx="4">
                  <c:v>-53.618389840576761</c:v>
                </c:pt>
                <c:pt idx="5">
                  <c:v>-53.059246434731556</c:v>
                </c:pt>
                <c:pt idx="6">
                  <c:v>-52.218810411837502</c:v>
                </c:pt>
                <c:pt idx="7">
                  <c:v>-51.589397795799037</c:v>
                </c:pt>
                <c:pt idx="8">
                  <c:v>-51.539709960762764</c:v>
                </c:pt>
              </c:numCache>
            </c:numRef>
          </c:xVal>
          <c:yVal>
            <c:numRef>
              <c:f>'Сеч 0,45'!$Q$45:$Q$53</c:f>
              <c:numCache>
                <c:formatCode>0.00</c:formatCode>
                <c:ptCount val="9"/>
                <c:pt idx="0">
                  <c:v>-14.053764519176047</c:v>
                </c:pt>
                <c:pt idx="1">
                  <c:v>-13.424351903137582</c:v>
                </c:pt>
                <c:pt idx="2">
                  <c:v>-13.3746640681013</c:v>
                </c:pt>
                <c:pt idx="3">
                  <c:v>-13.933807473946503</c:v>
                </c:pt>
                <c:pt idx="4">
                  <c:v>-14.774243496840546</c:v>
                </c:pt>
                <c:pt idx="5">
                  <c:v>-15.403656112879016</c:v>
                </c:pt>
                <c:pt idx="6">
                  <c:v>-15.453343947915297</c:v>
                </c:pt>
                <c:pt idx="7">
                  <c:v>-14.894200542070095</c:v>
                </c:pt>
                <c:pt idx="8">
                  <c:v>-14.053764519176047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0,45'!$P$26:$P$27</c:f>
              <c:numCache>
                <c:formatCode>0.00</c:formatCode>
                <c:ptCount val="2"/>
                <c:pt idx="0">
                  <c:v>50.641948278923529</c:v>
                </c:pt>
                <c:pt idx="1">
                  <c:v>-53.618389840576761</c:v>
                </c:pt>
              </c:numCache>
            </c:numRef>
          </c:xVal>
          <c:yVal>
            <c:numRef>
              <c:f>'Сеч 0,45'!$Q$26:$Q$27</c:f>
              <c:numCache>
                <c:formatCode>0.00</c:formatCode>
                <c:ptCount val="2"/>
                <c:pt idx="0">
                  <c:v>23.361682380493612</c:v>
                </c:pt>
                <c:pt idx="1">
                  <c:v>-14.774243496840546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68896"/>
        <c:axId val="163369472"/>
      </c:scatterChart>
      <c:valAx>
        <c:axId val="163368896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63369472"/>
        <c:crosses val="autoZero"/>
        <c:crossBetween val="midCat"/>
        <c:majorUnit val="10"/>
        <c:minorUnit val="10"/>
      </c:valAx>
      <c:valAx>
        <c:axId val="163369472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63368896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0,6'!$P$4:$P$25</c:f>
              <c:numCache>
                <c:formatCode>0.0</c:formatCode>
                <c:ptCount val="22"/>
                <c:pt idx="0">
                  <c:v>-44.7</c:v>
                </c:pt>
                <c:pt idx="1">
                  <c:v>-34.299999999999997</c:v>
                </c:pt>
                <c:pt idx="2">
                  <c:v>-24.4</c:v>
                </c:pt>
                <c:pt idx="3">
                  <c:v>-14.1</c:v>
                </c:pt>
                <c:pt idx="4">
                  <c:v>-3.5</c:v>
                </c:pt>
                <c:pt idx="5">
                  <c:v>7.2</c:v>
                </c:pt>
                <c:pt idx="6">
                  <c:v>17.899999999999999</c:v>
                </c:pt>
                <c:pt idx="7">
                  <c:v>28.9</c:v>
                </c:pt>
                <c:pt idx="8">
                  <c:v>40.299999999999997</c:v>
                </c:pt>
                <c:pt idx="9">
                  <c:v>46.4</c:v>
                </c:pt>
                <c:pt idx="10">
                  <c:v>53.10254205371249</c:v>
                </c:pt>
                <c:pt idx="11">
                  <c:v>48.8</c:v>
                </c:pt>
                <c:pt idx="12">
                  <c:v>43.4</c:v>
                </c:pt>
                <c:pt idx="13">
                  <c:v>32.6</c:v>
                </c:pt>
                <c:pt idx="14">
                  <c:v>21.7</c:v>
                </c:pt>
                <c:pt idx="15">
                  <c:v>10.9</c:v>
                </c:pt>
                <c:pt idx="16">
                  <c:v>0.1</c:v>
                </c:pt>
                <c:pt idx="17">
                  <c:v>-10.7</c:v>
                </c:pt>
                <c:pt idx="18">
                  <c:v>-21.6</c:v>
                </c:pt>
                <c:pt idx="19">
                  <c:v>-32.4</c:v>
                </c:pt>
                <c:pt idx="20">
                  <c:v>-43.2</c:v>
                </c:pt>
                <c:pt idx="21">
                  <c:v>-54.859106867573153</c:v>
                </c:pt>
              </c:numCache>
            </c:numRef>
          </c:xVal>
          <c:yVal>
            <c:numRef>
              <c:f>'Сеч 0,6'!$Q$4:$Q$25</c:f>
              <c:numCache>
                <c:formatCode>0.0</c:formatCode>
                <c:ptCount val="22"/>
                <c:pt idx="0">
                  <c:v>-6.2</c:v>
                </c:pt>
                <c:pt idx="1">
                  <c:v>-0.5</c:v>
                </c:pt>
                <c:pt idx="2">
                  <c:v>4.7</c:v>
                </c:pt>
                <c:pt idx="3">
                  <c:v>9.3000000000000007</c:v>
                </c:pt>
                <c:pt idx="4">
                  <c:v>13.2</c:v>
                </c:pt>
                <c:pt idx="5">
                  <c:v>16.5</c:v>
                </c:pt>
                <c:pt idx="6">
                  <c:v>19.600000000000001</c:v>
                </c:pt>
                <c:pt idx="7">
                  <c:v>21.9</c:v>
                </c:pt>
                <c:pt idx="8">
                  <c:v>22.4</c:v>
                </c:pt>
                <c:pt idx="9">
                  <c:v>21.1</c:v>
                </c:pt>
                <c:pt idx="10">
                  <c:v>18.305788486244406</c:v>
                </c:pt>
                <c:pt idx="11">
                  <c:v>13.7</c:v>
                </c:pt>
                <c:pt idx="12">
                  <c:v>11.3</c:v>
                </c:pt>
                <c:pt idx="13">
                  <c:v>8.5</c:v>
                </c:pt>
                <c:pt idx="14">
                  <c:v>5.6</c:v>
                </c:pt>
                <c:pt idx="15">
                  <c:v>2.8</c:v>
                </c:pt>
                <c:pt idx="16">
                  <c:v>0</c:v>
                </c:pt>
                <c:pt idx="17">
                  <c:v>-2.8</c:v>
                </c:pt>
                <c:pt idx="18">
                  <c:v>-5.6</c:v>
                </c:pt>
                <c:pt idx="19">
                  <c:v>-8.4</c:v>
                </c:pt>
                <c:pt idx="20">
                  <c:v>-11.2</c:v>
                </c:pt>
                <c:pt idx="21">
                  <c:v>-11.548550501781104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0,6'!$AG$37</c:f>
              <c:strCache>
                <c:ptCount val="1"/>
                <c:pt idx="0">
                  <c:v>r1=1,5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0,6'!$P$36:$P$44</c:f>
              <c:numCache>
                <c:formatCode>0.00</c:formatCode>
                <c:ptCount val="9"/>
                <c:pt idx="0">
                  <c:v>53.10254205371249</c:v>
                </c:pt>
                <c:pt idx="1">
                  <c:v>52.410481334467221</c:v>
                </c:pt>
                <c:pt idx="2">
                  <c:v>51.273404733760081</c:v>
                </c:pt>
                <c:pt idx="3">
                  <c:v>50.357396302828214</c:v>
                </c:pt>
                <c:pt idx="4">
                  <c:v>50.199041357263418</c:v>
                </c:pt>
                <c:pt idx="5">
                  <c:v>50.891102076508687</c:v>
                </c:pt>
                <c:pt idx="6">
                  <c:v>52.028178677215827</c:v>
                </c:pt>
                <c:pt idx="7">
                  <c:v>52.944187108147688</c:v>
                </c:pt>
                <c:pt idx="8">
                  <c:v>53.10254205371249</c:v>
                </c:pt>
              </c:numCache>
            </c:numRef>
          </c:xVal>
          <c:yVal>
            <c:numRef>
              <c:f>'Сеч 0,6'!$Q$36:$Q$44</c:f>
              <c:numCache>
                <c:formatCode>0.00</c:formatCode>
                <c:ptCount val="9"/>
                <c:pt idx="0">
                  <c:v>18.305788486244406</c:v>
                </c:pt>
                <c:pt idx="1">
                  <c:v>19.221796917176267</c:v>
                </c:pt>
                <c:pt idx="2">
                  <c:v>19.380151862741062</c:v>
                </c:pt>
                <c:pt idx="3">
                  <c:v>18.688091143495789</c:v>
                </c:pt>
                <c:pt idx="4">
                  <c:v>17.55101454278865</c:v>
                </c:pt>
                <c:pt idx="5">
                  <c:v>16.635006111856786</c:v>
                </c:pt>
                <c:pt idx="6">
                  <c:v>16.476651166291987</c:v>
                </c:pt>
                <c:pt idx="7">
                  <c:v>17.168711885537263</c:v>
                </c:pt>
                <c:pt idx="8">
                  <c:v>18.305788486244406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0,6'!$AG$46</c:f>
              <c:strCache>
                <c:ptCount val="1"/>
                <c:pt idx="0">
                  <c:v>r2=1,1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0,6'!$P$45:$P$53</c:f>
              <c:numCache>
                <c:formatCode>0.00</c:formatCode>
                <c:ptCount val="9"/>
                <c:pt idx="0">
                  <c:v>-52.729873023510493</c:v>
                </c:pt>
                <c:pt idx="1">
                  <c:v>-53.237384217623692</c:v>
                </c:pt>
                <c:pt idx="2">
                  <c:v>-54.071240391475598</c:v>
                </c:pt>
                <c:pt idx="3">
                  <c:v>-54.742979907492298</c:v>
                </c:pt>
                <c:pt idx="4">
                  <c:v>-54.859106867573153</c:v>
                </c:pt>
                <c:pt idx="5">
                  <c:v>-54.351595673459947</c:v>
                </c:pt>
                <c:pt idx="6">
                  <c:v>-53.517739499608048</c:v>
                </c:pt>
                <c:pt idx="7">
                  <c:v>-52.845999983591348</c:v>
                </c:pt>
                <c:pt idx="8">
                  <c:v>-52.729873023510493</c:v>
                </c:pt>
              </c:numCache>
            </c:numRef>
          </c:xVal>
          <c:yVal>
            <c:numRef>
              <c:f>'Сеч 0,6'!$Q$45:$Q$53</c:f>
              <c:numCache>
                <c:formatCode>0.00</c:formatCode>
                <c:ptCount val="9"/>
                <c:pt idx="0">
                  <c:v>-10.995049609913551</c:v>
                </c:pt>
                <c:pt idx="1">
                  <c:v>-10.323310093896852</c:v>
                </c:pt>
                <c:pt idx="2">
                  <c:v>-10.207183133816001</c:v>
                </c:pt>
                <c:pt idx="3">
                  <c:v>-10.7146943279292</c:v>
                </c:pt>
                <c:pt idx="4">
                  <c:v>-11.548550501781104</c:v>
                </c:pt>
                <c:pt idx="5">
                  <c:v>-12.220290017797804</c:v>
                </c:pt>
                <c:pt idx="6">
                  <c:v>-12.336416977878653</c:v>
                </c:pt>
                <c:pt idx="7">
                  <c:v>-11.828905783765457</c:v>
                </c:pt>
                <c:pt idx="8">
                  <c:v>-10.995049609913551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0,6'!$P$26:$P$27</c:f>
              <c:numCache>
                <c:formatCode>0.00</c:formatCode>
                <c:ptCount val="2"/>
                <c:pt idx="0">
                  <c:v>53.10254205371249</c:v>
                </c:pt>
                <c:pt idx="1">
                  <c:v>-54.859106867573153</c:v>
                </c:pt>
              </c:numCache>
            </c:numRef>
          </c:xVal>
          <c:yVal>
            <c:numRef>
              <c:f>'Сеч 0,6'!$Q$26:$Q$27</c:f>
              <c:numCache>
                <c:formatCode>0.00</c:formatCode>
                <c:ptCount val="2"/>
                <c:pt idx="0">
                  <c:v>18.305788486244406</c:v>
                </c:pt>
                <c:pt idx="1">
                  <c:v>-11.548550501781104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913408"/>
        <c:axId val="193913984"/>
      </c:scatterChart>
      <c:valAx>
        <c:axId val="193913408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913984"/>
        <c:crosses val="autoZero"/>
        <c:crossBetween val="midCat"/>
        <c:majorUnit val="10"/>
        <c:minorUnit val="10"/>
      </c:valAx>
      <c:valAx>
        <c:axId val="193913984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913408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0,75'!$P$4:$P$25</c:f>
              <c:numCache>
                <c:formatCode>0.0</c:formatCode>
                <c:ptCount val="22"/>
                <c:pt idx="0">
                  <c:v>-39.5</c:v>
                </c:pt>
                <c:pt idx="1">
                  <c:v>-30.3</c:v>
                </c:pt>
                <c:pt idx="2">
                  <c:v>-21</c:v>
                </c:pt>
                <c:pt idx="3">
                  <c:v>-11.6</c:v>
                </c:pt>
                <c:pt idx="4">
                  <c:v>-2.1</c:v>
                </c:pt>
                <c:pt idx="5">
                  <c:v>7.5</c:v>
                </c:pt>
                <c:pt idx="6">
                  <c:v>17.2</c:v>
                </c:pt>
                <c:pt idx="7">
                  <c:v>27</c:v>
                </c:pt>
                <c:pt idx="8">
                  <c:v>37</c:v>
                </c:pt>
                <c:pt idx="9">
                  <c:v>42.6</c:v>
                </c:pt>
                <c:pt idx="10">
                  <c:v>47.850909491300456</c:v>
                </c:pt>
                <c:pt idx="11">
                  <c:v>43.2</c:v>
                </c:pt>
                <c:pt idx="12">
                  <c:v>38</c:v>
                </c:pt>
                <c:pt idx="13">
                  <c:v>28.3</c:v>
                </c:pt>
                <c:pt idx="14">
                  <c:v>18.7</c:v>
                </c:pt>
                <c:pt idx="15">
                  <c:v>9</c:v>
                </c:pt>
                <c:pt idx="16">
                  <c:v>-0.7</c:v>
                </c:pt>
                <c:pt idx="17">
                  <c:v>-10.4</c:v>
                </c:pt>
                <c:pt idx="18">
                  <c:v>-20.100000000000001</c:v>
                </c:pt>
                <c:pt idx="19">
                  <c:v>-29.7</c:v>
                </c:pt>
                <c:pt idx="20">
                  <c:v>-39.4</c:v>
                </c:pt>
                <c:pt idx="21">
                  <c:v>-48.843489926800416</c:v>
                </c:pt>
              </c:numCache>
            </c:numRef>
          </c:xVal>
          <c:yVal>
            <c:numRef>
              <c:f>'Сеч 0,75'!$Q$4:$Q$25</c:f>
              <c:numCache>
                <c:formatCode>0.0</c:formatCode>
                <c:ptCount val="22"/>
                <c:pt idx="0">
                  <c:v>-4.4000000000000004</c:v>
                </c:pt>
                <c:pt idx="1">
                  <c:v>-0.4</c:v>
                </c:pt>
                <c:pt idx="2">
                  <c:v>3.5</c:v>
                </c:pt>
                <c:pt idx="3">
                  <c:v>6.8</c:v>
                </c:pt>
                <c:pt idx="4">
                  <c:v>9.6999999999999993</c:v>
                </c:pt>
                <c:pt idx="5">
                  <c:v>12</c:v>
                </c:pt>
                <c:pt idx="6">
                  <c:v>14.1</c:v>
                </c:pt>
                <c:pt idx="7">
                  <c:v>15.6</c:v>
                </c:pt>
                <c:pt idx="8">
                  <c:v>15.8</c:v>
                </c:pt>
                <c:pt idx="9">
                  <c:v>15</c:v>
                </c:pt>
                <c:pt idx="10">
                  <c:v>13.022342970214094</c:v>
                </c:pt>
                <c:pt idx="11">
                  <c:v>10</c:v>
                </c:pt>
                <c:pt idx="12">
                  <c:v>7.9</c:v>
                </c:pt>
                <c:pt idx="13">
                  <c:v>5.9</c:v>
                </c:pt>
                <c:pt idx="14">
                  <c:v>3.9</c:v>
                </c:pt>
                <c:pt idx="15">
                  <c:v>1.9</c:v>
                </c:pt>
                <c:pt idx="16">
                  <c:v>-0.1</c:v>
                </c:pt>
                <c:pt idx="17">
                  <c:v>-2.2000000000000002</c:v>
                </c:pt>
                <c:pt idx="18">
                  <c:v>-4.2</c:v>
                </c:pt>
                <c:pt idx="19">
                  <c:v>-6.2</c:v>
                </c:pt>
                <c:pt idx="20">
                  <c:v>-8.1999999999999993</c:v>
                </c:pt>
                <c:pt idx="21">
                  <c:v>-8.2494602900026148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0,75'!$AG$37</c:f>
              <c:strCache>
                <c:ptCount val="1"/>
                <c:pt idx="0">
                  <c:v>r1=1,1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0,75'!$P$36:$P$44</c:f>
              <c:numCache>
                <c:formatCode>0.00</c:formatCode>
                <c:ptCount val="9"/>
                <c:pt idx="0">
                  <c:v>47.850909491300456</c:v>
                </c:pt>
                <c:pt idx="1">
                  <c:v>47.377107263434738</c:v>
                </c:pt>
                <c:pt idx="2">
                  <c:v>46.549984480575823</c:v>
                </c:pt>
                <c:pt idx="3">
                  <c:v>45.854058451174673</c:v>
                </c:pt>
                <c:pt idx="4">
                  <c:v>45.696993204846038</c:v>
                </c:pt>
                <c:pt idx="5">
                  <c:v>46.170795432711756</c:v>
                </c:pt>
                <c:pt idx="6">
                  <c:v>46.997918215570678</c:v>
                </c:pt>
                <c:pt idx="7">
                  <c:v>47.693844244971821</c:v>
                </c:pt>
                <c:pt idx="8">
                  <c:v>47.850909491300456</c:v>
                </c:pt>
              </c:numCache>
            </c:numRef>
          </c:xVal>
          <c:yVal>
            <c:numRef>
              <c:f>'Сеч 0,75'!$Q$36:$Q$44</c:f>
              <c:numCache>
                <c:formatCode>0.00</c:formatCode>
                <c:ptCount val="9"/>
                <c:pt idx="0">
                  <c:v>13.022342970214094</c:v>
                </c:pt>
                <c:pt idx="1">
                  <c:v>13.718268999615235</c:v>
                </c:pt>
                <c:pt idx="2">
                  <c:v>13.875334245943867</c:v>
                </c:pt>
                <c:pt idx="3">
                  <c:v>13.401532018078148</c:v>
                </c:pt>
                <c:pt idx="4">
                  <c:v>12.57440923521923</c:v>
                </c:pt>
                <c:pt idx="5">
                  <c:v>11.878483205818091</c:v>
                </c:pt>
                <c:pt idx="6">
                  <c:v>11.721417959489457</c:v>
                </c:pt>
                <c:pt idx="7">
                  <c:v>12.195220187355176</c:v>
                </c:pt>
                <c:pt idx="8">
                  <c:v>13.022342970214094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0,75'!$AG$46</c:f>
              <c:strCache>
                <c:ptCount val="1"/>
                <c:pt idx="0">
                  <c:v>r2=0,8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0,75'!$P$45:$P$53</c:f>
              <c:numCache>
                <c:formatCode>0.00</c:formatCode>
                <c:ptCount val="9"/>
                <c:pt idx="0">
                  <c:v>-47.277005354833584</c:v>
                </c:pt>
                <c:pt idx="1">
                  <c:v>-47.621588793281376</c:v>
                </c:pt>
                <c:pt idx="2">
                  <c:v>-48.223132635360592</c:v>
                </c:pt>
                <c:pt idx="3">
                  <c:v>-48.729260656743236</c:v>
                </c:pt>
                <c:pt idx="4">
                  <c:v>-48.843489926800416</c:v>
                </c:pt>
                <c:pt idx="5">
                  <c:v>-48.498906488352631</c:v>
                </c:pt>
                <c:pt idx="6">
                  <c:v>-47.897362646273422</c:v>
                </c:pt>
                <c:pt idx="7">
                  <c:v>-47.391234624890771</c:v>
                </c:pt>
                <c:pt idx="8">
                  <c:v>-47.277005354833584</c:v>
                </c:pt>
              </c:numCache>
            </c:numRef>
          </c:xVal>
          <c:yVal>
            <c:numRef>
              <c:f>'Сеч 0,75'!$Q$45:$Q$53</c:f>
              <c:numCache>
                <c:formatCode>0.00</c:formatCode>
                <c:ptCount val="9"/>
                <c:pt idx="0">
                  <c:v>-7.923690300915446</c:v>
                </c:pt>
                <c:pt idx="1">
                  <c:v>-7.4175622795327971</c:v>
                </c:pt>
                <c:pt idx="2">
                  <c:v>-7.303333009475609</c:v>
                </c:pt>
                <c:pt idx="3">
                  <c:v>-7.6479164479234045</c:v>
                </c:pt>
                <c:pt idx="4">
                  <c:v>-8.2494602900026148</c:v>
                </c:pt>
                <c:pt idx="5">
                  <c:v>-8.7555883113852655</c:v>
                </c:pt>
                <c:pt idx="6">
                  <c:v>-8.8698175814424527</c:v>
                </c:pt>
                <c:pt idx="7">
                  <c:v>-8.525234142994659</c:v>
                </c:pt>
                <c:pt idx="8">
                  <c:v>-7.923690300915446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0,75'!$P$26:$P$27</c:f>
              <c:numCache>
                <c:formatCode>0.00</c:formatCode>
                <c:ptCount val="2"/>
                <c:pt idx="0">
                  <c:v>47.850909491300456</c:v>
                </c:pt>
                <c:pt idx="1">
                  <c:v>-48.843489926800416</c:v>
                </c:pt>
              </c:numCache>
            </c:numRef>
          </c:xVal>
          <c:yVal>
            <c:numRef>
              <c:f>'Сеч 0,75'!$Q$26:$Q$27</c:f>
              <c:numCache>
                <c:formatCode>0.00</c:formatCode>
                <c:ptCount val="2"/>
                <c:pt idx="0">
                  <c:v>13.022342970214094</c:v>
                </c:pt>
                <c:pt idx="1">
                  <c:v>-8.2494602900026148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72352"/>
        <c:axId val="193358080"/>
      </c:scatterChart>
      <c:valAx>
        <c:axId val="163372352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358080"/>
        <c:crosses val="autoZero"/>
        <c:crossBetween val="midCat"/>
        <c:majorUnit val="10"/>
        <c:minorUnit val="10"/>
      </c:valAx>
      <c:valAx>
        <c:axId val="193358080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63372352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0,9'!$P$4:$P$25</c:f>
              <c:numCache>
                <c:formatCode>0.0</c:formatCode>
                <c:ptCount val="22"/>
                <c:pt idx="0">
                  <c:v>-27.6</c:v>
                </c:pt>
                <c:pt idx="1">
                  <c:v>-20.9</c:v>
                </c:pt>
                <c:pt idx="2">
                  <c:v>-14.2</c:v>
                </c:pt>
                <c:pt idx="3">
                  <c:v>-7.5</c:v>
                </c:pt>
                <c:pt idx="4">
                  <c:v>-0.8</c:v>
                </c:pt>
                <c:pt idx="5">
                  <c:v>6.1</c:v>
                </c:pt>
                <c:pt idx="6">
                  <c:v>13</c:v>
                </c:pt>
                <c:pt idx="7">
                  <c:v>19.899999999999999</c:v>
                </c:pt>
                <c:pt idx="8">
                  <c:v>26.9</c:v>
                </c:pt>
                <c:pt idx="9">
                  <c:v>30.5</c:v>
                </c:pt>
                <c:pt idx="10">
                  <c:v>33.691764639823802</c:v>
                </c:pt>
                <c:pt idx="11">
                  <c:v>30.6</c:v>
                </c:pt>
                <c:pt idx="12">
                  <c:v>27.2</c:v>
                </c:pt>
                <c:pt idx="13">
                  <c:v>20.3</c:v>
                </c:pt>
                <c:pt idx="14">
                  <c:v>13.5</c:v>
                </c:pt>
                <c:pt idx="15">
                  <c:v>6.6</c:v>
                </c:pt>
                <c:pt idx="16">
                  <c:v>-0.2</c:v>
                </c:pt>
                <c:pt idx="17">
                  <c:v>-7.1</c:v>
                </c:pt>
                <c:pt idx="18">
                  <c:v>-13.9</c:v>
                </c:pt>
                <c:pt idx="19">
                  <c:v>-20.8</c:v>
                </c:pt>
                <c:pt idx="20">
                  <c:v>-27.7</c:v>
                </c:pt>
                <c:pt idx="21">
                  <c:v>-34.206363543629195</c:v>
                </c:pt>
              </c:numCache>
            </c:numRef>
          </c:xVal>
          <c:yVal>
            <c:numRef>
              <c:f>'Сеч 0,9'!$Q$4:$Q$25</c:f>
              <c:numCache>
                <c:formatCode>0.0</c:formatCode>
                <c:ptCount val="22"/>
                <c:pt idx="0">
                  <c:v>-2.2000000000000002</c:v>
                </c:pt>
                <c:pt idx="1">
                  <c:v>0</c:v>
                </c:pt>
                <c:pt idx="2">
                  <c:v>2.1</c:v>
                </c:pt>
                <c:pt idx="3">
                  <c:v>4</c:v>
                </c:pt>
                <c:pt idx="4">
                  <c:v>6</c:v>
                </c:pt>
                <c:pt idx="5">
                  <c:v>7.5</c:v>
                </c:pt>
                <c:pt idx="6">
                  <c:v>8.6999999999999993</c:v>
                </c:pt>
                <c:pt idx="7">
                  <c:v>9.4</c:v>
                </c:pt>
                <c:pt idx="8">
                  <c:v>9.5</c:v>
                </c:pt>
                <c:pt idx="9">
                  <c:v>8.9</c:v>
                </c:pt>
                <c:pt idx="10">
                  <c:v>7.6310831716129508</c:v>
                </c:pt>
                <c:pt idx="11">
                  <c:v>5.5</c:v>
                </c:pt>
                <c:pt idx="12">
                  <c:v>4.7</c:v>
                </c:pt>
                <c:pt idx="13">
                  <c:v>3.5</c:v>
                </c:pt>
                <c:pt idx="14">
                  <c:v>2.2999999999999998</c:v>
                </c:pt>
                <c:pt idx="15">
                  <c:v>1.1000000000000001</c:v>
                </c:pt>
                <c:pt idx="16">
                  <c:v>0</c:v>
                </c:pt>
                <c:pt idx="17">
                  <c:v>-1.2</c:v>
                </c:pt>
                <c:pt idx="18">
                  <c:v>-2.4</c:v>
                </c:pt>
                <c:pt idx="19">
                  <c:v>-3.6</c:v>
                </c:pt>
                <c:pt idx="20">
                  <c:v>-4.8</c:v>
                </c:pt>
                <c:pt idx="21">
                  <c:v>-4.6617074627418607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0,9'!$AG$37</c:f>
              <c:strCache>
                <c:ptCount val="1"/>
                <c:pt idx="0">
                  <c:v>r1=0,8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0,9'!$P$36:$P$44</c:f>
              <c:numCache>
                <c:formatCode>0.00</c:formatCode>
                <c:ptCount val="9"/>
                <c:pt idx="0">
                  <c:v>33.691764639823802</c:v>
                </c:pt>
                <c:pt idx="1">
                  <c:v>33.364296761191959</c:v>
                </c:pt>
                <c:pt idx="2">
                  <c:v>32.766908634045429</c:v>
                </c:pt>
                <c:pt idx="3">
                  <c:v>32.249542121265961</c:v>
                </c:pt>
                <c:pt idx="4">
                  <c:v>32.115263509322105</c:v>
                </c:pt>
                <c:pt idx="5">
                  <c:v>32.442731387953941</c:v>
                </c:pt>
                <c:pt idx="6">
                  <c:v>33.040119515100479</c:v>
                </c:pt>
                <c:pt idx="7">
                  <c:v>33.557486027879939</c:v>
                </c:pt>
                <c:pt idx="8">
                  <c:v>33.691764639823802</c:v>
                </c:pt>
              </c:numCache>
            </c:numRef>
          </c:xVal>
          <c:yVal>
            <c:numRef>
              <c:f>'Сеч 0,9'!$Q$36:$Q$44</c:f>
              <c:numCache>
                <c:formatCode>0.00</c:formatCode>
                <c:ptCount val="9"/>
                <c:pt idx="0">
                  <c:v>7.6310831716129508</c:v>
                </c:pt>
                <c:pt idx="1">
                  <c:v>8.1484496843924177</c:v>
                </c:pt>
                <c:pt idx="2">
                  <c:v>8.2827282963362734</c:v>
                </c:pt>
                <c:pt idx="3">
                  <c:v>7.955260417704439</c:v>
                </c:pt>
                <c:pt idx="4">
                  <c:v>7.3578722905578982</c:v>
                </c:pt>
                <c:pt idx="5">
                  <c:v>6.8405057777784322</c:v>
                </c:pt>
                <c:pt idx="6">
                  <c:v>6.7062271658345782</c:v>
                </c:pt>
                <c:pt idx="7">
                  <c:v>7.0336950444664099</c:v>
                </c:pt>
                <c:pt idx="8">
                  <c:v>7.6310831716129508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0,9'!$AG$46</c:f>
              <c:strCache>
                <c:ptCount val="1"/>
                <c:pt idx="0">
                  <c:v>r2=0,8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0,9'!$P$45:$P$53</c:f>
              <c:numCache>
                <c:formatCode>0.00</c:formatCode>
                <c:ptCount val="9"/>
                <c:pt idx="0">
                  <c:v>-32.629862413127498</c:v>
                </c:pt>
                <c:pt idx="1">
                  <c:v>-32.957330291759334</c:v>
                </c:pt>
                <c:pt idx="2">
                  <c:v>-33.554718418905871</c:v>
                </c:pt>
                <c:pt idx="3">
                  <c:v>-34.072084931685332</c:v>
                </c:pt>
                <c:pt idx="4">
                  <c:v>-34.206363543629195</c:v>
                </c:pt>
                <c:pt idx="5">
                  <c:v>-33.878895664997358</c:v>
                </c:pt>
                <c:pt idx="6">
                  <c:v>-33.281507537850828</c:v>
                </c:pt>
                <c:pt idx="7">
                  <c:v>-32.764141025071353</c:v>
                </c:pt>
                <c:pt idx="8">
                  <c:v>-32.629862413127498</c:v>
                </c:pt>
              </c:numCache>
            </c:numRef>
          </c:xVal>
          <c:yVal>
            <c:numRef>
              <c:f>'Сеч 0,9'!$Q$45:$Q$53</c:f>
              <c:numCache>
                <c:formatCode>0.00</c:formatCode>
                <c:ptCount val="9"/>
                <c:pt idx="0">
                  <c:v>-4.388496581686808</c:v>
                </c:pt>
                <c:pt idx="1">
                  <c:v>-3.871130068907342</c:v>
                </c:pt>
                <c:pt idx="2">
                  <c:v>-3.7368514569634872</c:v>
                </c:pt>
                <c:pt idx="3">
                  <c:v>-4.0643193355953198</c:v>
                </c:pt>
                <c:pt idx="4">
                  <c:v>-4.6617074627418607</c:v>
                </c:pt>
                <c:pt idx="5">
                  <c:v>-5.1790739755213275</c:v>
                </c:pt>
                <c:pt idx="6">
                  <c:v>-5.3133525874651832</c:v>
                </c:pt>
                <c:pt idx="7">
                  <c:v>-4.9858847088333489</c:v>
                </c:pt>
                <c:pt idx="8">
                  <c:v>-4.388496581686808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0,9'!$P$26:$P$27</c:f>
              <c:numCache>
                <c:formatCode>0.00</c:formatCode>
                <c:ptCount val="2"/>
                <c:pt idx="0">
                  <c:v>33.691764639823802</c:v>
                </c:pt>
                <c:pt idx="1">
                  <c:v>-34.206363543629195</c:v>
                </c:pt>
              </c:numCache>
            </c:numRef>
          </c:xVal>
          <c:yVal>
            <c:numRef>
              <c:f>'Сеч 0,9'!$Q$26:$Q$27</c:f>
              <c:numCache>
                <c:formatCode>0.00</c:formatCode>
                <c:ptCount val="2"/>
                <c:pt idx="0">
                  <c:v>7.6310831716129508</c:v>
                </c:pt>
                <c:pt idx="1">
                  <c:v>-4.6617074627418607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811520"/>
        <c:axId val="261097152"/>
      </c:scatterChart>
      <c:valAx>
        <c:axId val="193811520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261097152"/>
        <c:crosses val="autoZero"/>
        <c:crossBetween val="midCat"/>
        <c:majorUnit val="10"/>
        <c:minorUnit val="10"/>
      </c:valAx>
      <c:valAx>
        <c:axId val="261097152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193811520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2.3350362086980415E-2"/>
          <c:w val="0.9859211242998438"/>
          <c:h val="0.95329927582603913"/>
        </c:manualLayout>
      </c:layout>
      <c:scatterChart>
        <c:scatterStyle val="smoothMarker"/>
        <c:varyColors val="0"/>
        <c:ser>
          <c:idx val="0"/>
          <c:order val="0"/>
          <c:spPr>
            <a:ln w="15875">
              <a:solidFill>
                <a:srgbClr val="00B0F0"/>
              </a:solidFill>
            </a:ln>
          </c:spPr>
          <c:marker>
            <c:symbol val="plus"/>
            <c:size val="3"/>
          </c:marker>
          <c:dPt>
            <c:idx val="5"/>
            <c:marker>
              <c:spPr>
                <a:ln>
                  <a:miter lim="800000"/>
                </a:ln>
              </c:spPr>
            </c:marker>
            <c:bubble3D val="0"/>
          </c:dPt>
          <c:dPt>
            <c:idx val="10"/>
            <c:marker>
              <c:symbol val="none"/>
            </c:marker>
            <c:bubble3D val="0"/>
            <c:spPr>
              <a:ln w="15875">
                <a:noFill/>
              </a:ln>
            </c:spPr>
          </c:dPt>
          <c:dPt>
            <c:idx val="11"/>
            <c:bubble3D val="0"/>
            <c:spPr>
              <a:ln w="15875">
                <a:noFill/>
              </a:ln>
            </c:spPr>
          </c:dPt>
          <c:dPt>
            <c:idx val="12"/>
            <c:marker>
              <c:spPr>
                <a:ln cap="rnd">
                  <a:round/>
                </a:ln>
              </c:spPr>
            </c:marker>
            <c:bubble3D val="0"/>
            <c:spPr>
              <a:ln w="15875">
                <a:solidFill>
                  <a:srgbClr val="00B0F0"/>
                </a:solidFill>
                <a:round/>
              </a:ln>
            </c:spPr>
          </c:dPt>
          <c:dPt>
            <c:idx val="21"/>
            <c:marker>
              <c:symbol val="none"/>
            </c:marker>
            <c:bubble3D val="0"/>
            <c:spPr>
              <a:ln w="15875">
                <a:noFill/>
              </a:ln>
            </c:spPr>
          </c:dPt>
          <c:dLbls>
            <c:dLbl>
              <c:idx val="10"/>
              <c:delete val="1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delete val="1"/>
            </c:dLbl>
            <c:numFmt formatCode="#,##0.0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xVal>
            <c:numRef>
              <c:f>'Сеч 1'!$P$4:$P$25</c:f>
              <c:numCache>
                <c:formatCode>0.0</c:formatCode>
                <c:ptCount val="22"/>
                <c:pt idx="0">
                  <c:v>-27.6</c:v>
                </c:pt>
                <c:pt idx="1">
                  <c:v>-20.9</c:v>
                </c:pt>
                <c:pt idx="2">
                  <c:v>-14.2</c:v>
                </c:pt>
                <c:pt idx="3">
                  <c:v>-7.4</c:v>
                </c:pt>
                <c:pt idx="4">
                  <c:v>-0.7</c:v>
                </c:pt>
                <c:pt idx="5">
                  <c:v>6.2</c:v>
                </c:pt>
                <c:pt idx="6">
                  <c:v>13.1</c:v>
                </c:pt>
                <c:pt idx="7">
                  <c:v>20</c:v>
                </c:pt>
                <c:pt idx="8">
                  <c:v>27</c:v>
                </c:pt>
                <c:pt idx="9">
                  <c:v>30.6</c:v>
                </c:pt>
                <c:pt idx="10">
                  <c:v>33.815718339748493</c:v>
                </c:pt>
                <c:pt idx="11">
                  <c:v>30.7</c:v>
                </c:pt>
                <c:pt idx="12">
                  <c:v>27.2</c:v>
                </c:pt>
                <c:pt idx="13">
                  <c:v>20.399999999999999</c:v>
                </c:pt>
                <c:pt idx="14">
                  <c:v>13.5</c:v>
                </c:pt>
                <c:pt idx="15">
                  <c:v>6.6</c:v>
                </c:pt>
                <c:pt idx="16">
                  <c:v>-0.2</c:v>
                </c:pt>
                <c:pt idx="17">
                  <c:v>-7.1</c:v>
                </c:pt>
                <c:pt idx="18">
                  <c:v>-14</c:v>
                </c:pt>
                <c:pt idx="19">
                  <c:v>-20.9</c:v>
                </c:pt>
                <c:pt idx="20">
                  <c:v>-27.7</c:v>
                </c:pt>
                <c:pt idx="21">
                  <c:v>-34.280145602964986</c:v>
                </c:pt>
              </c:numCache>
            </c:numRef>
          </c:xVal>
          <c:yVal>
            <c:numRef>
              <c:f>'Сеч 1'!$Q$4:$Q$25</c:f>
              <c:numCache>
                <c:formatCode>0.0</c:formatCode>
                <c:ptCount val="22"/>
                <c:pt idx="0">
                  <c:v>-2.2999999999999998</c:v>
                </c:pt>
                <c:pt idx="1">
                  <c:v>-0.1</c:v>
                </c:pt>
                <c:pt idx="2">
                  <c:v>1.8</c:v>
                </c:pt>
                <c:pt idx="3">
                  <c:v>3.6</c:v>
                </c:pt>
                <c:pt idx="4">
                  <c:v>5.2</c:v>
                </c:pt>
                <c:pt idx="5">
                  <c:v>6.4</c:v>
                </c:pt>
                <c:pt idx="6">
                  <c:v>7.6</c:v>
                </c:pt>
                <c:pt idx="7">
                  <c:v>8.4</c:v>
                </c:pt>
                <c:pt idx="8">
                  <c:v>8.5</c:v>
                </c:pt>
                <c:pt idx="9">
                  <c:v>7.9</c:v>
                </c:pt>
                <c:pt idx="10">
                  <c:v>7.0615598902900203</c:v>
                </c:pt>
                <c:pt idx="11">
                  <c:v>4.8</c:v>
                </c:pt>
                <c:pt idx="12">
                  <c:v>4.2</c:v>
                </c:pt>
                <c:pt idx="13">
                  <c:v>3.2</c:v>
                </c:pt>
                <c:pt idx="14">
                  <c:v>2.1</c:v>
                </c:pt>
                <c:pt idx="15">
                  <c:v>1</c:v>
                </c:pt>
                <c:pt idx="16">
                  <c:v>0</c:v>
                </c:pt>
                <c:pt idx="17">
                  <c:v>-1.1000000000000001</c:v>
                </c:pt>
                <c:pt idx="18">
                  <c:v>-2.2000000000000002</c:v>
                </c:pt>
                <c:pt idx="19">
                  <c:v>-3.3</c:v>
                </c:pt>
                <c:pt idx="20">
                  <c:v>-4.3</c:v>
                </c:pt>
                <c:pt idx="21">
                  <c:v>-4.0839246793528838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'Сеч 1'!$AG$37</c:f>
              <c:strCache>
                <c:ptCount val="1"/>
                <c:pt idx="0">
                  <c:v>r1=0,7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0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i="1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1'!$P$36:$P$44</c:f>
              <c:numCache>
                <c:formatCode>0.00</c:formatCode>
                <c:ptCount val="9"/>
                <c:pt idx="0">
                  <c:v>33.815718339748493</c:v>
                </c:pt>
                <c:pt idx="1">
                  <c:v>33.536862473081705</c:v>
                </c:pt>
                <c:pt idx="2">
                  <c:v>33.016204582554437</c:v>
                </c:pt>
                <c:pt idx="3">
                  <c:v>32.558738999080987</c:v>
                </c:pt>
                <c:pt idx="4">
                  <c:v>32.43244285714119</c:v>
                </c:pt>
                <c:pt idx="5">
                  <c:v>32.711298723807971</c:v>
                </c:pt>
                <c:pt idx="6">
                  <c:v>33.231956614335253</c:v>
                </c:pt>
                <c:pt idx="7">
                  <c:v>33.689422197808696</c:v>
                </c:pt>
                <c:pt idx="8">
                  <c:v>33.815718339748493</c:v>
                </c:pt>
              </c:numCache>
            </c:numRef>
          </c:xVal>
          <c:yVal>
            <c:numRef>
              <c:f>'Сеч 1'!$Q$36:$Q$44</c:f>
              <c:numCache>
                <c:formatCode>0.00</c:formatCode>
                <c:ptCount val="9"/>
                <c:pt idx="0">
                  <c:v>7.0615598902900203</c:v>
                </c:pt>
                <c:pt idx="1">
                  <c:v>7.5190254737634641</c:v>
                </c:pt>
                <c:pt idx="2">
                  <c:v>7.6453216157032609</c:v>
                </c:pt>
                <c:pt idx="3">
                  <c:v>7.3664657490364727</c:v>
                </c:pt>
                <c:pt idx="4">
                  <c:v>6.845807858509203</c:v>
                </c:pt>
                <c:pt idx="5">
                  <c:v>6.3883422750357584</c:v>
                </c:pt>
                <c:pt idx="6">
                  <c:v>6.2620461330959625</c:v>
                </c:pt>
                <c:pt idx="7">
                  <c:v>6.5409019997627498</c:v>
                </c:pt>
                <c:pt idx="8">
                  <c:v>7.0615598902900203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'Сеч 1'!$AG$46</c:f>
              <c:strCache>
                <c:ptCount val="1"/>
                <c:pt idx="0">
                  <c:v>r2=0,7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ysDash"/>
            </a:ln>
          </c:spPr>
          <c:marker>
            <c:symbol val="none"/>
          </c:marker>
          <c:dLbls>
            <c:dLbl>
              <c:idx val="4"/>
              <c:layout/>
              <c:spPr/>
              <c:txPr>
                <a:bodyPr/>
                <a:lstStyle/>
                <a:p>
                  <a:pPr>
                    <a:defRPr sz="1400" b="1" i="1" u="sng">
                      <a:solidFill>
                        <a:srgbClr val="FF0000"/>
                      </a:solidFill>
                    </a:defRPr>
                  </a:pPr>
                  <a:endParaRPr lang="ru-RU"/>
                </a:p>
              </c:txPr>
              <c:dLblPos val="l"/>
              <c:showLegendKey val="0"/>
              <c:showVal val="0"/>
              <c:showCatName val="0"/>
              <c:showSerName val="1"/>
              <c:showPercent val="0"/>
              <c:showBubbleSize val="0"/>
            </c:dLbl>
            <c:dLblPos val="l"/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'Сеч 1'!$P$45:$P$53</c:f>
              <c:numCache>
                <c:formatCode>0.00</c:formatCode>
                <c:ptCount val="9"/>
                <c:pt idx="0">
                  <c:v>-32.89687012035769</c:v>
                </c:pt>
                <c:pt idx="1">
                  <c:v>-33.175725987024471</c:v>
                </c:pt>
                <c:pt idx="2">
                  <c:v>-33.696383877551746</c:v>
                </c:pt>
                <c:pt idx="3">
                  <c:v>-34.153849461025196</c:v>
                </c:pt>
                <c:pt idx="4">
                  <c:v>-34.280145602964986</c:v>
                </c:pt>
                <c:pt idx="5">
                  <c:v>-34.001289736298205</c:v>
                </c:pt>
                <c:pt idx="6">
                  <c:v>-33.48063184577093</c:v>
                </c:pt>
                <c:pt idx="7">
                  <c:v>-33.02316626229748</c:v>
                </c:pt>
                <c:pt idx="8">
                  <c:v>-32.89687012035769</c:v>
                </c:pt>
              </c:numCache>
            </c:numRef>
          </c:xVal>
          <c:yVal>
            <c:numRef>
              <c:f>'Сеч 1'!$Q$45:$Q$53</c:f>
              <c:numCache>
                <c:formatCode>0.00</c:formatCode>
                <c:ptCount val="9"/>
                <c:pt idx="0">
                  <c:v>-3.8681726475720675</c:v>
                </c:pt>
                <c:pt idx="1">
                  <c:v>-3.4107070640986241</c:v>
                </c:pt>
                <c:pt idx="2">
                  <c:v>-3.2844109221588274</c:v>
                </c:pt>
                <c:pt idx="3">
                  <c:v>-3.5632667888256147</c:v>
                </c:pt>
                <c:pt idx="4">
                  <c:v>-4.0839246793528838</c:v>
                </c:pt>
                <c:pt idx="5">
                  <c:v>-4.5413902628263285</c:v>
                </c:pt>
                <c:pt idx="6">
                  <c:v>-4.6676864047661244</c:v>
                </c:pt>
                <c:pt idx="7">
                  <c:v>-4.3888305380993362</c:v>
                </c:pt>
                <c:pt idx="8">
                  <c:v>-3.8681726475720675</c:v>
                </c:pt>
              </c:numCache>
            </c:numRef>
          </c:yVal>
          <c:smooth val="1"/>
        </c:ser>
        <c:ser>
          <c:idx val="3"/>
          <c:order val="3"/>
          <c:tx>
            <c:v>ширина</c:v>
          </c:tx>
          <c:spPr>
            <a:ln w="25400">
              <a:prstDash val="sysDash"/>
            </a:ln>
          </c:spPr>
          <c:xVal>
            <c:numRef>
              <c:f>'Сеч 1'!$P$26:$P$27</c:f>
              <c:numCache>
                <c:formatCode>0.00</c:formatCode>
                <c:ptCount val="2"/>
                <c:pt idx="0">
                  <c:v>33.815718339748493</c:v>
                </c:pt>
                <c:pt idx="1">
                  <c:v>-34.280145602964986</c:v>
                </c:pt>
              </c:numCache>
            </c:numRef>
          </c:xVal>
          <c:yVal>
            <c:numRef>
              <c:f>'Сеч 1'!$Q$26:$Q$27</c:f>
              <c:numCache>
                <c:formatCode>0.00</c:formatCode>
                <c:ptCount val="2"/>
                <c:pt idx="0">
                  <c:v>7.0615598902900203</c:v>
                </c:pt>
                <c:pt idx="1">
                  <c:v>-4.0839246793528838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1100032"/>
        <c:axId val="261100608"/>
      </c:scatterChart>
      <c:valAx>
        <c:axId val="261100032"/>
        <c:scaling>
          <c:orientation val="minMax"/>
          <c:max val="100"/>
          <c:min val="-100"/>
        </c:scaling>
        <c:delete val="0"/>
        <c:axPos val="b"/>
        <c:majorGridlines/>
        <c:numFmt formatCode="0" sourceLinked="0"/>
        <c:majorTickMark val="cross"/>
        <c:minorTickMark val="none"/>
        <c:tickLblPos val="high"/>
        <c:spPr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261100608"/>
        <c:crosses val="autoZero"/>
        <c:crossBetween val="midCat"/>
        <c:majorUnit val="10"/>
        <c:minorUnit val="10"/>
      </c:valAx>
      <c:valAx>
        <c:axId val="261100608"/>
        <c:scaling>
          <c:orientation val="minMax"/>
          <c:max val="50"/>
          <c:min val="-50"/>
        </c:scaling>
        <c:delete val="0"/>
        <c:axPos val="l"/>
        <c:majorGridlines/>
        <c:numFmt formatCode="0" sourceLinked="0"/>
        <c:majorTickMark val="cross"/>
        <c:minorTickMark val="none"/>
        <c:tickLblPos val="high"/>
        <c:spPr>
          <a:noFill/>
          <a:ln w="1905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sz="700">
                <a:solidFill>
                  <a:schemeClr val="bg1">
                    <a:lumMod val="50000"/>
                  </a:schemeClr>
                </a:solidFill>
              </a:defRPr>
            </a:pPr>
            <a:endParaRPr lang="ru-RU"/>
          </a:p>
        </c:txPr>
        <c:crossAx val="261100032"/>
        <c:crosses val="autoZero"/>
        <c:crossBetween val="midCat"/>
        <c:majorUnit val="10"/>
        <c:minorUnit val="10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672059610327463E-2"/>
          <c:y val="3.1554017659208303E-2"/>
          <c:w val="0.93041619117553032"/>
          <c:h val="0.8647658202672535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Тяга!$AZ$2</c:f>
              <c:strCache>
                <c:ptCount val="1"/>
                <c:pt idx="0">
                  <c:v>1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45105385038416868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1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Тяга!$AZ$4:$AZ$10</c:f>
              <c:numCache>
                <c:formatCode>General</c:formatCode>
                <c:ptCount val="7"/>
                <c:pt idx="0">
                  <c:v>25</c:v>
                </c:pt>
                <c:pt idx="1">
                  <c:v>39</c:v>
                </c:pt>
                <c:pt idx="2">
                  <c:v>57</c:v>
                </c:pt>
                <c:pt idx="3">
                  <c:v>78</c:v>
                </c:pt>
                <c:pt idx="4">
                  <c:v>95</c:v>
                </c:pt>
                <c:pt idx="5">
                  <c:v>111</c:v>
                </c:pt>
                <c:pt idx="6">
                  <c:v>178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Тяга!$AX$2</c:f>
              <c:strCache>
                <c:ptCount val="1"/>
                <c:pt idx="0">
                  <c:v>1,5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4439406238414761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Тяга!$AX$4:$AX$10</c:f>
              <c:numCache>
                <c:formatCode>General</c:formatCode>
                <c:ptCount val="7"/>
                <c:pt idx="0">
                  <c:v>32</c:v>
                </c:pt>
                <c:pt idx="1">
                  <c:v>50</c:v>
                </c:pt>
                <c:pt idx="2">
                  <c:v>79</c:v>
                </c:pt>
                <c:pt idx="3">
                  <c:v>102</c:v>
                </c:pt>
                <c:pt idx="4">
                  <c:v>125</c:v>
                </c:pt>
                <c:pt idx="5">
                  <c:v>144</c:v>
                </c:pt>
                <c:pt idx="6">
                  <c:v>230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Тяга!$AY$2</c:f>
              <c:strCache>
                <c:ptCount val="1"/>
                <c:pt idx="0">
                  <c:v>1,25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 w="9525"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45512614402856183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Тяга!$AY$4:$AY$10</c:f>
              <c:numCache>
                <c:formatCode>General</c:formatCode>
                <c:ptCount val="7"/>
                <c:pt idx="0">
                  <c:v>28</c:v>
                </c:pt>
                <c:pt idx="1">
                  <c:v>44</c:v>
                </c:pt>
                <c:pt idx="2">
                  <c:v>66</c:v>
                </c:pt>
                <c:pt idx="3">
                  <c:v>90</c:v>
                </c:pt>
                <c:pt idx="4">
                  <c:v>109</c:v>
                </c:pt>
                <c:pt idx="5">
                  <c:v>128</c:v>
                </c:pt>
                <c:pt idx="6">
                  <c:v>205</c:v>
                </c:pt>
              </c:numCache>
            </c:numRef>
          </c:yVal>
          <c:smooth val="1"/>
        </c:ser>
        <c:ser>
          <c:idx val="4"/>
          <c:order val="3"/>
          <c:tx>
            <c:strRef>
              <c:f>Тяга!$AW$2</c:f>
              <c:strCache>
                <c:ptCount val="1"/>
                <c:pt idx="0">
                  <c:v>1,75</c:v>
                </c:pt>
              </c:strCache>
            </c:strRef>
          </c:tx>
          <c:spPr>
            <a:ln w="9525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4203225506060781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1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Тяга!$AW$4:$AW$10</c:f>
              <c:numCache>
                <c:formatCode>General</c:formatCode>
                <c:ptCount val="7"/>
                <c:pt idx="0">
                  <c:v>36</c:v>
                </c:pt>
                <c:pt idx="1">
                  <c:v>56</c:v>
                </c:pt>
                <c:pt idx="2">
                  <c:v>86</c:v>
                </c:pt>
                <c:pt idx="3">
                  <c:v>113</c:v>
                </c:pt>
                <c:pt idx="4">
                  <c:v>136</c:v>
                </c:pt>
                <c:pt idx="5">
                  <c:v>158</c:v>
                </c:pt>
                <c:pt idx="6">
                  <c:v>253</c:v>
                </c:pt>
              </c:numCache>
            </c:numRef>
          </c:yVal>
          <c:smooth val="1"/>
        </c:ser>
        <c:ser>
          <c:idx val="5"/>
          <c:order val="4"/>
          <c:tx>
            <c:strRef>
              <c:f>Тяга!$AU$2</c:f>
              <c:strCache>
                <c:ptCount val="1"/>
                <c:pt idx="0">
                  <c:v>2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dPt>
            <c:idx val="0"/>
            <c:bubble3D val="0"/>
          </c:dPt>
          <c:dPt>
            <c:idx val="4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38434352219358309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1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Тяга!$AU$4:$AU$10</c:f>
              <c:numCache>
                <c:formatCode>General</c:formatCode>
                <c:ptCount val="7"/>
                <c:pt idx="0">
                  <c:v>40</c:v>
                </c:pt>
                <c:pt idx="1">
                  <c:v>61</c:v>
                </c:pt>
                <c:pt idx="2">
                  <c:v>92</c:v>
                </c:pt>
                <c:pt idx="3">
                  <c:v>125</c:v>
                </c:pt>
                <c:pt idx="4">
                  <c:v>150</c:v>
                </c:pt>
                <c:pt idx="5">
                  <c:v>174</c:v>
                </c:pt>
                <c:pt idx="6">
                  <c:v>279</c:v>
                </c:pt>
              </c:numCache>
            </c:numRef>
          </c:yVal>
          <c:smooth val="1"/>
        </c:ser>
        <c:ser>
          <c:idx val="6"/>
          <c:order val="5"/>
          <c:tx>
            <c:strRef>
              <c:f>Тяга!$AT$2</c:f>
              <c:strCache>
                <c:ptCount val="1"/>
                <c:pt idx="0">
                  <c:v>2,5</c:v>
                </c:pt>
              </c:strCache>
            </c:strRef>
          </c:tx>
          <c:spPr>
            <a:ln w="15875">
              <a:noFill/>
            </a:ln>
          </c:spPr>
          <c:marker>
            <c:symbol val="none"/>
          </c:marker>
          <c:dPt>
            <c:idx val="0"/>
            <c:bubble3D val="0"/>
          </c:dPt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3062447399723447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1"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Тяга!$AT$4:$AT$10</c:f>
              <c:numCache>
                <c:formatCode>General</c:formatCode>
                <c:ptCount val="7"/>
                <c:pt idx="0">
                  <c:v>45</c:v>
                </c:pt>
                <c:pt idx="1">
                  <c:v>70</c:v>
                </c:pt>
                <c:pt idx="2">
                  <c:v>102</c:v>
                </c:pt>
                <c:pt idx="3">
                  <c:v>143</c:v>
                </c:pt>
                <c:pt idx="4">
                  <c:v>174</c:v>
                </c:pt>
                <c:pt idx="5">
                  <c:v>210</c:v>
                </c:pt>
                <c:pt idx="6">
                  <c:v>336</c:v>
                </c:pt>
              </c:numCache>
            </c:numRef>
          </c:yVal>
          <c:smooth val="1"/>
        </c:ser>
        <c:ser>
          <c:idx val="3"/>
          <c:order val="6"/>
          <c:tx>
            <c:strRef>
              <c:f>Тяга!$BA$2</c:f>
              <c:strCache>
                <c:ptCount val="1"/>
                <c:pt idx="0">
                  <c:v>0,75</c:v>
                </c:pt>
              </c:strCache>
            </c:strRef>
          </c:tx>
          <c:spPr>
            <a:ln w="12700">
              <a:noFill/>
            </a:ln>
          </c:spPr>
          <c:marker>
            <c:symbol val="none"/>
          </c:marker>
          <c:trendline>
            <c:spPr>
              <a:ln>
                <a:solidFill>
                  <a:srgbClr val="FF0000"/>
                </a:solidFill>
                <a:prstDash val="dash"/>
              </a:ln>
            </c:spPr>
            <c:trendlineType val="power"/>
            <c:dispRSqr val="0"/>
            <c:dispEq val="1"/>
            <c:trendlineLbl>
              <c:layout>
                <c:manualLayout>
                  <c:x val="3.5301370226209328E-2"/>
                  <c:y val="0.44957928563773047"/>
                </c:manualLayout>
              </c:layout>
              <c:numFmt formatCode="General" sourceLinked="0"/>
              <c:spPr>
                <a:ln>
                  <a:noFill/>
                </a:ln>
              </c:spPr>
              <c:txPr>
                <a:bodyPr/>
                <a:lstStyle/>
                <a:p>
                  <a:pPr>
                    <a:defRPr>
                      <a:solidFill>
                        <a:srgbClr val="C00000"/>
                      </a:solidFill>
                    </a:defRPr>
                  </a:pPr>
                  <a:endParaRPr lang="ru-RU"/>
                </a:p>
              </c:txPr>
            </c:trendlineLbl>
          </c:trendline>
          <c:xVal>
            <c:numRef>
              <c:f>Тяга!$AS$4:$AS$10</c:f>
              <c:numCache>
                <c:formatCode>General</c:formatCode>
                <c:ptCount val="7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110</c:v>
                </c:pt>
              </c:numCache>
            </c:numRef>
          </c:xVal>
          <c:yVal>
            <c:numRef>
              <c:f>Тяга!$BA$4:$BA$10</c:f>
              <c:numCache>
                <c:formatCode>General</c:formatCode>
                <c:ptCount val="7"/>
                <c:pt idx="0">
                  <c:v>21</c:v>
                </c:pt>
                <c:pt idx="1">
                  <c:v>31</c:v>
                </c:pt>
                <c:pt idx="2">
                  <c:v>47</c:v>
                </c:pt>
                <c:pt idx="3">
                  <c:v>65</c:v>
                </c:pt>
                <c:pt idx="4">
                  <c:v>79</c:v>
                </c:pt>
                <c:pt idx="5">
                  <c:v>91</c:v>
                </c:pt>
                <c:pt idx="6">
                  <c:v>145.69999999999999</c:v>
                </c:pt>
              </c:numCache>
            </c:numRef>
          </c:yVal>
          <c:smooth val="1"/>
        </c:ser>
        <c:ser>
          <c:idx val="7"/>
          <c:order val="7"/>
          <c:spPr>
            <a:ln w="22225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Тяга!$AG$2:$AG$3</c:f>
              <c:numCache>
                <c:formatCode>General</c:formatCode>
                <c:ptCount val="2"/>
                <c:pt idx="0">
                  <c:v>0</c:v>
                </c:pt>
                <c:pt idx="1">
                  <c:v>50</c:v>
                </c:pt>
              </c:numCache>
            </c:numRef>
          </c:xVal>
          <c:yVal>
            <c:numRef>
              <c:f>Тяга!$AH$2:$AH$3</c:f>
              <c:numCache>
                <c:formatCode>0</c:formatCode>
                <c:ptCount val="2"/>
                <c:pt idx="0">
                  <c:v>141.78728612803459</c:v>
                </c:pt>
                <c:pt idx="1">
                  <c:v>141.78728612803459</c:v>
                </c:pt>
              </c:numCache>
            </c:numRef>
          </c:yVal>
          <c:smooth val="1"/>
        </c:ser>
        <c:ser>
          <c:idx val="8"/>
          <c:order val="8"/>
          <c:spPr>
            <a:ln w="22225">
              <a:solidFill>
                <a:srgbClr val="FF0000"/>
              </a:solidFill>
              <a:prstDash val="dash"/>
            </a:ln>
          </c:spPr>
          <c:marker>
            <c:symbol val="none"/>
          </c:marker>
          <c:xVal>
            <c:numRef>
              <c:f>Тяга!$AG$3:$AG$4</c:f>
              <c:numCache>
                <c:formatCode>General</c:formatCode>
                <c:ptCount val="2"/>
                <c:pt idx="0">
                  <c:v>50</c:v>
                </c:pt>
                <c:pt idx="1">
                  <c:v>50</c:v>
                </c:pt>
              </c:numCache>
            </c:numRef>
          </c:xVal>
          <c:yVal>
            <c:numRef>
              <c:f>Тяга!$AH$3:$AH$4</c:f>
              <c:numCache>
                <c:formatCode>0</c:formatCode>
                <c:ptCount val="2"/>
                <c:pt idx="0">
                  <c:v>141.78728612803459</c:v>
                </c:pt>
                <c:pt idx="1">
                  <c:v>0</c:v>
                </c:pt>
              </c:numCache>
            </c:numRef>
          </c:yVal>
          <c:smooth val="1"/>
        </c:ser>
        <c:ser>
          <c:idx val="9"/>
          <c:order val="9"/>
          <c:spPr>
            <a:ln w="22225">
              <a:solidFill>
                <a:srgbClr val="00B0F0"/>
              </a:solidFill>
              <a:prstDash val="dash"/>
            </a:ln>
          </c:spPr>
          <c:marker>
            <c:symbol val="none"/>
          </c:marker>
          <c:xVal>
            <c:numRef>
              <c:f>Тяга!$AG$6:$AG$7</c:f>
              <c:numCache>
                <c:formatCode>General</c:formatCode>
                <c:ptCount val="2"/>
                <c:pt idx="0">
                  <c:v>0</c:v>
                </c:pt>
                <c:pt idx="1">
                  <c:v>30</c:v>
                </c:pt>
              </c:numCache>
            </c:numRef>
          </c:xVal>
          <c:yVal>
            <c:numRef>
              <c:f>Тяга!$AH$6:$AH$7</c:f>
              <c:numCache>
                <c:formatCode>0</c:formatCode>
                <c:ptCount val="2"/>
                <c:pt idx="0">
                  <c:v>123.20467730469207</c:v>
                </c:pt>
                <c:pt idx="1">
                  <c:v>123.20467730469207</c:v>
                </c:pt>
              </c:numCache>
            </c:numRef>
          </c:yVal>
          <c:smooth val="1"/>
        </c:ser>
        <c:ser>
          <c:idx val="10"/>
          <c:order val="10"/>
          <c:spPr>
            <a:ln w="22225">
              <a:solidFill>
                <a:srgbClr val="00B0F0"/>
              </a:solidFill>
              <a:prstDash val="dash"/>
            </a:ln>
          </c:spPr>
          <c:marker>
            <c:symbol val="none"/>
          </c:marker>
          <c:xVal>
            <c:numRef>
              <c:f>Тяга!$AG$7:$AG$8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Тяга!$AH$7:$AH$8</c:f>
              <c:numCache>
                <c:formatCode>General</c:formatCode>
                <c:ptCount val="2"/>
                <c:pt idx="0" formatCode="0">
                  <c:v>123.20467730469207</c:v>
                </c:pt>
                <c:pt idx="1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368000"/>
        <c:axId val="195368576"/>
      </c:scatterChart>
      <c:valAx>
        <c:axId val="195368000"/>
        <c:scaling>
          <c:orientation val="minMax"/>
          <c:max val="110"/>
          <c:min val="0"/>
        </c:scaling>
        <c:delete val="0"/>
        <c:axPos val="b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General" sourceLinked="1"/>
        <c:majorTickMark val="in"/>
        <c:minorTickMark val="none"/>
        <c:tickLblPos val="low"/>
        <c:txPr>
          <a:bodyPr/>
          <a:lstStyle/>
          <a:p>
            <a:pPr>
              <a:defRPr>
                <a:solidFill>
                  <a:schemeClr val="bg1">
                    <a:lumMod val="65000"/>
                  </a:schemeClr>
                </a:solidFill>
              </a:defRPr>
            </a:pPr>
            <a:endParaRPr lang="ru-RU"/>
          </a:p>
        </c:txPr>
        <c:crossAx val="195368576"/>
        <c:crosses val="autoZero"/>
        <c:crossBetween val="midCat"/>
        <c:majorUnit val="10"/>
        <c:minorUnit val="1"/>
      </c:valAx>
      <c:valAx>
        <c:axId val="195368576"/>
        <c:scaling>
          <c:orientation val="minMax"/>
          <c:max val="300"/>
          <c:min val="0"/>
        </c:scaling>
        <c:delete val="0"/>
        <c:axPos val="l"/>
        <c:majorGridlines>
          <c:spPr>
            <a:ln>
              <a:solidFill>
                <a:schemeClr val="bg1">
                  <a:lumMod val="50000"/>
                </a:schemeClr>
              </a:solidFill>
              <a:prstDash val="solid"/>
            </a:ln>
          </c:spPr>
        </c:majorGridlines>
        <c:numFmt formatCode="General" sourceLinked="1"/>
        <c:majorTickMark val="out"/>
        <c:minorTickMark val="out"/>
        <c:tickLblPos val="nextTo"/>
        <c:txPr>
          <a:bodyPr/>
          <a:lstStyle/>
          <a:p>
            <a:pPr>
              <a:defRPr>
                <a:solidFill>
                  <a:schemeClr val="bg1">
                    <a:lumMod val="65000"/>
                  </a:schemeClr>
                </a:solidFill>
              </a:defRPr>
            </a:pPr>
            <a:endParaRPr lang="ru-RU"/>
          </a:p>
        </c:txPr>
        <c:crossAx val="195368000"/>
        <c:crosses val="autoZero"/>
        <c:crossBetween val="midCat"/>
        <c:majorUnit val="50"/>
        <c:minorUnit val="10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  <a:prstDash val="dash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tiff"/><Relationship Id="rId7" Type="http://schemas.openxmlformats.org/officeDocument/2006/relationships/image" Target="../media/image5.png"/><Relationship Id="rId12" Type="http://schemas.openxmlformats.org/officeDocument/2006/relationships/image" Target="../media/image10.png"/><Relationship Id="rId2" Type="http://schemas.openxmlformats.org/officeDocument/2006/relationships/chart" Target="../charts/chart1.xml"/><Relationship Id="rId1" Type="http://schemas.openxmlformats.org/officeDocument/2006/relationships/image" Target="../media/image1.tif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0" Type="http://schemas.openxmlformats.org/officeDocument/2006/relationships/image" Target="../media/image8.png"/><Relationship Id="rId4" Type="http://schemas.openxmlformats.org/officeDocument/2006/relationships/chart" Target="../charts/chart2.xml"/><Relationship Id="rId9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chart" Target="../charts/chart4.xml"/><Relationship Id="rId7" Type="http://schemas.openxmlformats.org/officeDocument/2006/relationships/image" Target="../media/image6.png"/><Relationship Id="rId2" Type="http://schemas.openxmlformats.org/officeDocument/2006/relationships/chart" Target="../charts/chart3.xml"/><Relationship Id="rId1" Type="http://schemas.openxmlformats.org/officeDocument/2006/relationships/image" Target="../media/image11.tif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jpeg"/><Relationship Id="rId1" Type="http://schemas.openxmlformats.org/officeDocument/2006/relationships/chart" Target="../charts/chart11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image" Target="../media/image2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8281</xdr:colOff>
      <xdr:row>0</xdr:row>
      <xdr:rowOff>0</xdr:rowOff>
    </xdr:from>
    <xdr:to>
      <xdr:col>13</xdr:col>
      <xdr:colOff>182217</xdr:colOff>
      <xdr:row>14</xdr:row>
      <xdr:rowOff>73269</xdr:rowOff>
    </xdr:to>
    <xdr:pic>
      <xdr:nvPicPr>
        <xdr:cNvPr id="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32" t="-7649" b="355"/>
        <a:stretch/>
      </xdr:blipFill>
      <xdr:spPr>
        <a:xfrm>
          <a:off x="4315238" y="0"/>
          <a:ext cx="3105979" cy="2740269"/>
        </a:xfrm>
        <a:prstGeom prst="rect">
          <a:avLst/>
        </a:prstGeom>
      </xdr:spPr>
    </xdr:pic>
    <xdr:clientData/>
  </xdr:twoCellAnchor>
  <xdr:twoCellAnchor editAs="absolute">
    <xdr:from>
      <xdr:col>7</xdr:col>
      <xdr:colOff>160797</xdr:colOff>
      <xdr:row>0</xdr:row>
      <xdr:rowOff>0</xdr:rowOff>
    </xdr:from>
    <xdr:to>
      <xdr:col>15</xdr:col>
      <xdr:colOff>217820</xdr:colOff>
      <xdr:row>14</xdr:row>
      <xdr:rowOff>4265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1</xdr:rowOff>
    </xdr:from>
    <xdr:to>
      <xdr:col>5</xdr:col>
      <xdr:colOff>571386</xdr:colOff>
      <xdr:row>14</xdr:row>
      <xdr:rowOff>65942</xdr:rowOff>
    </xdr:to>
    <xdr:pic>
      <xdr:nvPicPr>
        <xdr:cNvPr id="4" name="Рисунок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3" t="-3363" r="47231" b="1609"/>
        <a:stretch/>
      </xdr:blipFill>
      <xdr:spPr>
        <a:xfrm>
          <a:off x="0" y="1"/>
          <a:ext cx="3707309" cy="2732941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6</xdr:col>
      <xdr:colOff>305498</xdr:colOff>
      <xdr:row>11</xdr:row>
      <xdr:rowOff>181104</xdr:rowOff>
    </xdr:to>
    <xdr:graphicFrame macro="">
      <xdr:nvGraphicFramePr>
        <xdr:cNvPr id="6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371475</xdr:colOff>
      <xdr:row>23</xdr:row>
      <xdr:rowOff>152400</xdr:rowOff>
    </xdr:from>
    <xdr:to>
      <xdr:col>14</xdr:col>
      <xdr:colOff>258246</xdr:colOff>
      <xdr:row>43</xdr:row>
      <xdr:rowOff>57669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1475" y="4248150"/>
          <a:ext cx="7668696" cy="3715269"/>
        </a:xfrm>
        <a:prstGeom prst="rect">
          <a:avLst/>
        </a:prstGeom>
      </xdr:spPr>
    </xdr:pic>
    <xdr:clientData/>
  </xdr:twoCellAnchor>
  <xdr:twoCellAnchor>
    <xdr:from>
      <xdr:col>5</xdr:col>
      <xdr:colOff>333377</xdr:colOff>
      <xdr:row>14</xdr:row>
      <xdr:rowOff>150329</xdr:rowOff>
    </xdr:from>
    <xdr:to>
      <xdr:col>14</xdr:col>
      <xdr:colOff>308528</xdr:colOff>
      <xdr:row>18</xdr:row>
      <xdr:rowOff>9525</xdr:rowOff>
    </xdr:to>
    <xdr:sp macro="" textlink="">
      <xdr:nvSpPr>
        <xdr:cNvPr id="8" name="TextBox 7"/>
        <xdr:cNvSpPr txBox="1"/>
      </xdr:nvSpPr>
      <xdr:spPr>
        <a:xfrm>
          <a:off x="3476627" y="2817329"/>
          <a:ext cx="4613826" cy="62119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 i="0"/>
            <a:t>Результаты по тяге можно считать достоверными для</a:t>
          </a:r>
          <a:r>
            <a:rPr lang="ru-RU" sz="1100" i="0" baseline="0"/>
            <a:t> мощности до 50 л.с. При мощности от 50 до 110 л.с. результаты по тяге получены интерполяцией функций.</a:t>
          </a:r>
          <a:r>
            <a:rPr lang="en-US" sz="1100" i="0" baseline="0"/>
            <a:t> (</a:t>
          </a:r>
          <a:r>
            <a:rPr lang="ru-RU" sz="1100" i="0" baseline="0"/>
            <a:t>см. лист </a:t>
          </a:r>
          <a:r>
            <a:rPr lang="ru-RU" sz="1100" i="0" baseline="0">
              <a:solidFill>
                <a:schemeClr val="accent6">
                  <a:lumMod val="75000"/>
                </a:schemeClr>
              </a:solidFill>
            </a:rPr>
            <a:t>"</a:t>
          </a:r>
          <a:r>
            <a:rPr lang="ru-RU" sz="1100" b="1" i="0" baseline="0">
              <a:solidFill>
                <a:schemeClr val="accent6">
                  <a:lumMod val="75000"/>
                </a:schemeClr>
              </a:solidFill>
            </a:rPr>
            <a:t>Тяга</a:t>
          </a:r>
          <a:r>
            <a:rPr lang="ru-RU" sz="1100" i="0" baseline="0">
              <a:solidFill>
                <a:schemeClr val="accent6">
                  <a:lumMod val="75000"/>
                </a:schemeClr>
              </a:solidFill>
            </a:rPr>
            <a:t>"</a:t>
          </a:r>
          <a:r>
            <a:rPr lang="ru-RU" sz="1100" i="0" baseline="0"/>
            <a:t>) </a:t>
          </a:r>
          <a:br>
            <a:rPr lang="ru-RU" sz="1100" i="0" baseline="0"/>
          </a:br>
          <a:endParaRPr lang="ru-RU" sz="1100" i="0"/>
        </a:p>
      </xdr:txBody>
    </xdr:sp>
    <xdr:clientData/>
  </xdr:twoCellAnchor>
  <xdr:twoCellAnchor editAs="oneCell">
    <xdr:from>
      <xdr:col>0</xdr:col>
      <xdr:colOff>381000</xdr:colOff>
      <xdr:row>43</xdr:row>
      <xdr:rowOff>27214</xdr:rowOff>
    </xdr:from>
    <xdr:to>
      <xdr:col>14</xdr:col>
      <xdr:colOff>220143</xdr:colOff>
      <xdr:row>68</xdr:row>
      <xdr:rowOff>65984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0" y="8123464"/>
          <a:ext cx="7649643" cy="4801270"/>
        </a:xfrm>
        <a:prstGeom prst="rect">
          <a:avLst/>
        </a:prstGeom>
      </xdr:spPr>
    </xdr:pic>
    <xdr:clientData/>
  </xdr:twoCellAnchor>
  <xdr:twoCellAnchor editAs="oneCell">
    <xdr:from>
      <xdr:col>0</xdr:col>
      <xdr:colOff>517071</xdr:colOff>
      <xdr:row>68</xdr:row>
      <xdr:rowOff>54428</xdr:rowOff>
    </xdr:from>
    <xdr:to>
      <xdr:col>7</xdr:col>
      <xdr:colOff>180141</xdr:colOff>
      <xdr:row>94</xdr:row>
      <xdr:rowOff>26541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17071" y="12913178"/>
          <a:ext cx="3772427" cy="4925113"/>
        </a:xfrm>
        <a:prstGeom prst="rect">
          <a:avLst/>
        </a:prstGeom>
      </xdr:spPr>
    </xdr:pic>
    <xdr:clientData/>
  </xdr:twoCellAnchor>
  <xdr:twoCellAnchor editAs="oneCell">
    <xdr:from>
      <xdr:col>0</xdr:col>
      <xdr:colOff>367393</xdr:colOff>
      <xdr:row>93</xdr:row>
      <xdr:rowOff>136071</xdr:rowOff>
    </xdr:from>
    <xdr:to>
      <xdr:col>14</xdr:col>
      <xdr:colOff>158904</xdr:colOff>
      <xdr:row>115</xdr:row>
      <xdr:rowOff>184288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67393" y="17757321"/>
          <a:ext cx="7602011" cy="4239217"/>
        </a:xfrm>
        <a:prstGeom prst="rect">
          <a:avLst/>
        </a:prstGeom>
      </xdr:spPr>
    </xdr:pic>
    <xdr:clientData/>
  </xdr:twoCellAnchor>
  <xdr:twoCellAnchor editAs="oneCell">
    <xdr:from>
      <xdr:col>0</xdr:col>
      <xdr:colOff>353787</xdr:colOff>
      <xdr:row>116</xdr:row>
      <xdr:rowOff>122464</xdr:rowOff>
    </xdr:from>
    <xdr:to>
      <xdr:col>14</xdr:col>
      <xdr:colOff>240562</xdr:colOff>
      <xdr:row>135</xdr:row>
      <xdr:rowOff>161075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53787" y="22125214"/>
          <a:ext cx="7697275" cy="3658111"/>
        </a:xfrm>
        <a:prstGeom prst="rect">
          <a:avLst/>
        </a:prstGeom>
      </xdr:spPr>
    </xdr:pic>
    <xdr:clientData/>
  </xdr:twoCellAnchor>
  <xdr:twoCellAnchor>
    <xdr:from>
      <xdr:col>0</xdr:col>
      <xdr:colOff>353786</xdr:colOff>
      <xdr:row>123</xdr:row>
      <xdr:rowOff>27214</xdr:rowOff>
    </xdr:from>
    <xdr:to>
      <xdr:col>1</xdr:col>
      <xdr:colOff>152400</xdr:colOff>
      <xdr:row>124</xdr:row>
      <xdr:rowOff>95250</xdr:rowOff>
    </xdr:to>
    <xdr:sp macro="" textlink="">
      <xdr:nvSpPr>
        <xdr:cNvPr id="13" name="TextBox 12"/>
        <xdr:cNvSpPr txBox="1"/>
      </xdr:nvSpPr>
      <xdr:spPr>
        <a:xfrm>
          <a:off x="353786" y="23363464"/>
          <a:ext cx="408214" cy="258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200"/>
            <a:t>2п</a:t>
          </a:r>
        </a:p>
      </xdr:txBody>
    </xdr:sp>
    <xdr:clientData/>
  </xdr:twoCellAnchor>
  <xdr:twoCellAnchor editAs="oneCell">
    <xdr:from>
      <xdr:col>0</xdr:col>
      <xdr:colOff>363681</xdr:colOff>
      <xdr:row>135</xdr:row>
      <xdr:rowOff>173182</xdr:rowOff>
    </xdr:from>
    <xdr:to>
      <xdr:col>14</xdr:col>
      <xdr:colOff>298087</xdr:colOff>
      <xdr:row>149</xdr:row>
      <xdr:rowOff>78291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63681" y="25804091"/>
          <a:ext cx="7744906" cy="2572109"/>
        </a:xfrm>
        <a:prstGeom prst="rect">
          <a:avLst/>
        </a:prstGeom>
      </xdr:spPr>
    </xdr:pic>
    <xdr:clientData/>
  </xdr:twoCellAnchor>
  <xdr:twoCellAnchor editAs="oneCell">
    <xdr:from>
      <xdr:col>0</xdr:col>
      <xdr:colOff>502227</xdr:colOff>
      <xdr:row>149</xdr:row>
      <xdr:rowOff>121227</xdr:rowOff>
    </xdr:from>
    <xdr:to>
      <xdr:col>13</xdr:col>
      <xdr:colOff>230444</xdr:colOff>
      <xdr:row>181</xdr:row>
      <xdr:rowOff>83973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2227" y="28419136"/>
          <a:ext cx="7001853" cy="6058746"/>
        </a:xfrm>
        <a:prstGeom prst="rect">
          <a:avLst/>
        </a:prstGeom>
      </xdr:spPr>
    </xdr:pic>
    <xdr:clientData/>
  </xdr:twoCellAnchor>
  <xdr:twoCellAnchor editAs="oneCell">
    <xdr:from>
      <xdr:col>0</xdr:col>
      <xdr:colOff>502226</xdr:colOff>
      <xdr:row>181</xdr:row>
      <xdr:rowOff>86591</xdr:rowOff>
    </xdr:from>
    <xdr:to>
      <xdr:col>14</xdr:col>
      <xdr:colOff>379474</xdr:colOff>
      <xdr:row>195</xdr:row>
      <xdr:rowOff>29805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02226" y="34480500"/>
          <a:ext cx="7687748" cy="2610214"/>
        </a:xfrm>
        <a:prstGeom prst="rect">
          <a:avLst/>
        </a:prstGeom>
      </xdr:spPr>
    </xdr:pic>
    <xdr:clientData/>
  </xdr:twoCellAnchor>
  <xdr:twoCellAnchor>
    <xdr:from>
      <xdr:col>0</xdr:col>
      <xdr:colOff>1</xdr:colOff>
      <xdr:row>21</xdr:row>
      <xdr:rowOff>38100</xdr:rowOff>
    </xdr:from>
    <xdr:to>
      <xdr:col>12</xdr:col>
      <xdr:colOff>9526</xdr:colOff>
      <xdr:row>22</xdr:row>
      <xdr:rowOff>95250</xdr:rowOff>
    </xdr:to>
    <xdr:sp macro="" textlink="">
      <xdr:nvSpPr>
        <xdr:cNvPr id="17" name="TextBox 16"/>
        <xdr:cNvSpPr txBox="1"/>
      </xdr:nvSpPr>
      <xdr:spPr>
        <a:xfrm>
          <a:off x="1" y="3943350"/>
          <a:ext cx="70294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lang="ru-RU" sz="1100" b="1" i="1" baseline="0">
              <a:solidFill>
                <a:srgbClr val="CC00CC"/>
              </a:solidFill>
            </a:rPr>
            <a:t>( Александр Грибков.)</a:t>
          </a:r>
          <a:endParaRPr lang="ru-RU" sz="1100" b="1" i="1">
            <a:solidFill>
              <a:srgbClr val="CC00CC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571500</xdr:colOff>
      <xdr:row>17</xdr:row>
      <xdr:rowOff>180975</xdr:rowOff>
    </xdr:to>
    <xdr:pic>
      <xdr:nvPicPr>
        <xdr:cNvPr id="2" name="Рисунок 1"/>
        <xdr:cNvPicPr preferRelativeResize="0"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36" b="21338"/>
        <a:stretch/>
      </xdr:blipFill>
      <xdr:spPr>
        <a:xfrm>
          <a:off x="0" y="0"/>
          <a:ext cx="5458810" cy="4204138"/>
        </a:xfrm>
        <a:prstGeom prst="rect">
          <a:avLst/>
        </a:prstGeom>
      </xdr:spPr>
    </xdr:pic>
    <xdr:clientData/>
  </xdr:twoCellAnchor>
  <xdr:twoCellAnchor editAs="absolute">
    <xdr:from>
      <xdr:col>4</xdr:col>
      <xdr:colOff>184547</xdr:colOff>
      <xdr:row>0</xdr:row>
      <xdr:rowOff>0</xdr:rowOff>
    </xdr:from>
    <xdr:to>
      <xdr:col>9</xdr:col>
      <xdr:colOff>595312</xdr:colOff>
      <xdr:row>14</xdr:row>
      <xdr:rowOff>105505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0</xdr:col>
      <xdr:colOff>53578</xdr:colOff>
      <xdr:row>0</xdr:row>
      <xdr:rowOff>2</xdr:rowOff>
    </xdr:from>
    <xdr:to>
      <xdr:col>4</xdr:col>
      <xdr:colOff>446485</xdr:colOff>
      <xdr:row>14</xdr:row>
      <xdr:rowOff>82441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21</xdr:col>
      <xdr:colOff>571727</xdr:colOff>
      <xdr:row>0</xdr:row>
      <xdr:rowOff>0</xdr:rowOff>
    </xdr:from>
    <xdr:to>
      <xdr:col>27</xdr:col>
      <xdr:colOff>62676</xdr:colOff>
      <xdr:row>10</xdr:row>
      <xdr:rowOff>231323</xdr:rowOff>
    </xdr:to>
    <xdr:pic>
      <xdr:nvPicPr>
        <xdr:cNvPr id="4" name="Рисунок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165" r="41505"/>
        <a:stretch/>
      </xdr:blipFill>
      <xdr:spPr>
        <a:xfrm>
          <a:off x="13920334" y="0"/>
          <a:ext cx="3843874" cy="2830287"/>
        </a:xfrm>
        <a:prstGeom prst="rect">
          <a:avLst/>
        </a:prstGeom>
      </xdr:spPr>
    </xdr:pic>
    <xdr:clientData/>
  </xdr:twoCellAnchor>
  <xdr:twoCellAnchor editAs="oneCell">
    <xdr:from>
      <xdr:col>22</xdr:col>
      <xdr:colOff>92412</xdr:colOff>
      <xdr:row>11</xdr:row>
      <xdr:rowOff>11207</xdr:rowOff>
    </xdr:from>
    <xdr:to>
      <xdr:col>26</xdr:col>
      <xdr:colOff>324429</xdr:colOff>
      <xdr:row>21</xdr:row>
      <xdr:rowOff>57711</xdr:rowOff>
    </xdr:to>
    <xdr:pic>
      <xdr:nvPicPr>
        <xdr:cNvPr id="6" name="Рисунок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114" t="87914" r="8166"/>
        <a:stretch/>
      </xdr:blipFill>
      <xdr:spPr>
        <a:xfrm>
          <a:off x="13472236" y="2779060"/>
          <a:ext cx="3167958" cy="2209239"/>
        </a:xfrm>
        <a:prstGeom prst="rect">
          <a:avLst/>
        </a:prstGeom>
      </xdr:spPr>
    </xdr:pic>
    <xdr:clientData/>
  </xdr:twoCellAnchor>
  <xdr:twoCellAnchor editAs="oneCell">
    <xdr:from>
      <xdr:col>0</xdr:col>
      <xdr:colOff>447674</xdr:colOff>
      <xdr:row>22</xdr:row>
      <xdr:rowOff>133350</xdr:rowOff>
    </xdr:from>
    <xdr:to>
      <xdr:col>13</xdr:col>
      <xdr:colOff>520183</xdr:colOff>
      <xdr:row>42</xdr:row>
      <xdr:rowOff>38619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7674" y="5253038"/>
          <a:ext cx="7763947" cy="3715269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42</xdr:row>
      <xdr:rowOff>0</xdr:rowOff>
    </xdr:from>
    <xdr:to>
      <xdr:col>13</xdr:col>
      <xdr:colOff>410643</xdr:colOff>
      <xdr:row>67</xdr:row>
      <xdr:rowOff>38770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8625" y="8929688"/>
          <a:ext cx="7673456" cy="480127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68</xdr:row>
      <xdr:rowOff>142875</xdr:rowOff>
    </xdr:from>
    <xdr:to>
      <xdr:col>7</xdr:col>
      <xdr:colOff>115508</xdr:colOff>
      <xdr:row>94</xdr:row>
      <xdr:rowOff>114988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750" y="14025563"/>
          <a:ext cx="3782633" cy="4925113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</xdr:colOff>
      <xdr:row>95</xdr:row>
      <xdr:rowOff>47625</xdr:rowOff>
    </xdr:from>
    <xdr:to>
      <xdr:col>13</xdr:col>
      <xdr:colOff>577323</xdr:colOff>
      <xdr:row>117</xdr:row>
      <xdr:rowOff>95842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42937" y="19073813"/>
          <a:ext cx="7625824" cy="4239217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118</xdr:row>
      <xdr:rowOff>95250</xdr:rowOff>
    </xdr:from>
    <xdr:to>
      <xdr:col>14</xdr:col>
      <xdr:colOff>29650</xdr:colOff>
      <xdr:row>137</xdr:row>
      <xdr:rowOff>133861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66750" y="23502938"/>
          <a:ext cx="7721088" cy="3658111"/>
        </a:xfrm>
        <a:prstGeom prst="rect">
          <a:avLst/>
        </a:prstGeom>
      </xdr:spPr>
    </xdr:pic>
    <xdr:clientData/>
  </xdr:twoCellAnchor>
  <xdr:twoCellAnchor editAs="oneCell">
    <xdr:from>
      <xdr:col>1</xdr:col>
      <xdr:colOff>71437</xdr:colOff>
      <xdr:row>137</xdr:row>
      <xdr:rowOff>166688</xdr:rowOff>
    </xdr:from>
    <xdr:to>
      <xdr:col>14</xdr:col>
      <xdr:colOff>101093</xdr:colOff>
      <xdr:row>151</xdr:row>
      <xdr:rowOff>71797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0562" y="27193876"/>
          <a:ext cx="7768719" cy="2572109"/>
        </a:xfrm>
        <a:prstGeom prst="rect">
          <a:avLst/>
        </a:prstGeom>
      </xdr:spPr>
    </xdr:pic>
    <xdr:clientData/>
  </xdr:twoCellAnchor>
  <xdr:twoCellAnchor editAs="oneCell">
    <xdr:from>
      <xdr:col>1</xdr:col>
      <xdr:colOff>309562</xdr:colOff>
      <xdr:row>152</xdr:row>
      <xdr:rowOff>1</xdr:rowOff>
    </xdr:from>
    <xdr:to>
      <xdr:col>13</xdr:col>
      <xdr:colOff>252091</xdr:colOff>
      <xdr:row>183</xdr:row>
      <xdr:rowOff>153247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28687" y="29884689"/>
          <a:ext cx="7014842" cy="6058746"/>
        </a:xfrm>
        <a:prstGeom prst="rect">
          <a:avLst/>
        </a:prstGeom>
      </xdr:spPr>
    </xdr:pic>
    <xdr:clientData/>
  </xdr:twoCellAnchor>
  <xdr:twoCellAnchor editAs="oneCell">
    <xdr:from>
      <xdr:col>1</xdr:col>
      <xdr:colOff>166687</xdr:colOff>
      <xdr:row>183</xdr:row>
      <xdr:rowOff>142875</xdr:rowOff>
    </xdr:from>
    <xdr:to>
      <xdr:col>14</xdr:col>
      <xdr:colOff>139185</xdr:colOff>
      <xdr:row>197</xdr:row>
      <xdr:rowOff>86089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85812" y="35933063"/>
          <a:ext cx="7711561" cy="261021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212911</xdr:rowOff>
    </xdr:from>
    <xdr:to>
      <xdr:col>12</xdr:col>
      <xdr:colOff>235324</xdr:colOff>
      <xdr:row>20</xdr:row>
      <xdr:rowOff>22411</xdr:rowOff>
    </xdr:to>
    <xdr:sp macro="" textlink="">
      <xdr:nvSpPr>
        <xdr:cNvPr id="19" name="TextBox 18"/>
        <xdr:cNvSpPr txBox="1"/>
      </xdr:nvSpPr>
      <xdr:spPr>
        <a:xfrm>
          <a:off x="0" y="4459940"/>
          <a:ext cx="7093324" cy="291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180627</xdr:rowOff>
    </xdr:from>
    <xdr:to>
      <xdr:col>0</xdr:col>
      <xdr:colOff>516985</xdr:colOff>
      <xdr:row>2</xdr:row>
      <xdr:rowOff>150102</xdr:rowOff>
    </xdr:to>
    <xdr:sp macro="" textlink="">
      <xdr:nvSpPr>
        <xdr:cNvPr id="3" name="Прямоугольник 2"/>
        <xdr:cNvSpPr/>
      </xdr:nvSpPr>
      <xdr:spPr>
        <a:xfrm>
          <a:off x="155520" y="180627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45798" y="0"/>
          <a:ext cx="8726241" cy="5506010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180627</xdr:rowOff>
    </xdr:from>
    <xdr:to>
      <xdr:col>0</xdr:col>
      <xdr:colOff>516985</xdr:colOff>
      <xdr:row>2</xdr:row>
      <xdr:rowOff>150102</xdr:rowOff>
    </xdr:to>
    <xdr:sp macro="" textlink="">
      <xdr:nvSpPr>
        <xdr:cNvPr id="3" name="Прямоугольник 2"/>
        <xdr:cNvSpPr/>
      </xdr:nvSpPr>
      <xdr:spPr>
        <a:xfrm>
          <a:off x="155520" y="180627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45798" y="0"/>
          <a:ext cx="8726241" cy="5496485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457825"/>
          <a:ext cx="70485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180627</xdr:rowOff>
    </xdr:from>
    <xdr:to>
      <xdr:col>0</xdr:col>
      <xdr:colOff>516985</xdr:colOff>
      <xdr:row>2</xdr:row>
      <xdr:rowOff>150102</xdr:rowOff>
    </xdr:to>
    <xdr:sp macro="" textlink="">
      <xdr:nvSpPr>
        <xdr:cNvPr id="3" name="Прямоугольник 2"/>
        <xdr:cNvSpPr/>
      </xdr:nvSpPr>
      <xdr:spPr>
        <a:xfrm>
          <a:off x="155520" y="180627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45798" y="0"/>
          <a:ext cx="8726241" cy="5496485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180626</xdr:rowOff>
    </xdr:from>
    <xdr:to>
      <xdr:col>0</xdr:col>
      <xdr:colOff>516985</xdr:colOff>
      <xdr:row>2</xdr:row>
      <xdr:rowOff>150101</xdr:rowOff>
    </xdr:to>
    <xdr:sp macro="" textlink="">
      <xdr:nvSpPr>
        <xdr:cNvPr id="3" name="Прямоугольник 2"/>
        <xdr:cNvSpPr/>
      </xdr:nvSpPr>
      <xdr:spPr>
        <a:xfrm>
          <a:off x="155520" y="180626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45798" y="0"/>
          <a:ext cx="8726241" cy="5496485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180626</xdr:rowOff>
    </xdr:from>
    <xdr:to>
      <xdr:col>0</xdr:col>
      <xdr:colOff>516985</xdr:colOff>
      <xdr:row>2</xdr:row>
      <xdr:rowOff>150101</xdr:rowOff>
    </xdr:to>
    <xdr:sp macro="" textlink="">
      <xdr:nvSpPr>
        <xdr:cNvPr id="3" name="Прямоугольник 2"/>
        <xdr:cNvSpPr/>
      </xdr:nvSpPr>
      <xdr:spPr>
        <a:xfrm>
          <a:off x="155520" y="180626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45798" y="0"/>
          <a:ext cx="8726241" cy="5496485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180626</xdr:rowOff>
    </xdr:from>
    <xdr:to>
      <xdr:col>0</xdr:col>
      <xdr:colOff>516985</xdr:colOff>
      <xdr:row>2</xdr:row>
      <xdr:rowOff>150101</xdr:rowOff>
    </xdr:to>
    <xdr:sp macro="" textlink="">
      <xdr:nvSpPr>
        <xdr:cNvPr id="3" name="Прямоугольник 2"/>
        <xdr:cNvSpPr/>
      </xdr:nvSpPr>
      <xdr:spPr>
        <a:xfrm>
          <a:off x="155520" y="180626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64689</xdr:colOff>
      <xdr:row>28</xdr:row>
      <xdr:rowOff>67235</xdr:rowOff>
    </xdr:to>
    <xdr:grpSp>
      <xdr:nvGrpSpPr>
        <xdr:cNvPr id="4" name="Группа 3"/>
        <xdr:cNvGrpSpPr/>
      </xdr:nvGrpSpPr>
      <xdr:grpSpPr>
        <a:xfrm>
          <a:off x="12074373" y="0"/>
          <a:ext cx="8726241" cy="5496485"/>
          <a:chOff x="13414516" y="0"/>
          <a:chExt cx="8632548" cy="6129734"/>
        </a:xfrm>
      </xdr:grpSpPr>
      <xdr:pic>
        <xdr:nvPicPr>
          <xdr:cNvPr id="5" name="Рисунок 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14516" y="0"/>
            <a:ext cx="8477124" cy="5374818"/>
          </a:xfrm>
          <a:prstGeom prst="rect">
            <a:avLst/>
          </a:prstGeom>
        </xdr:spPr>
      </xdr:pic>
      <xdr:sp macro="" textlink="">
        <xdr:nvSpPr>
          <xdr:cNvPr id="6" name="Прямоугольник 5"/>
          <xdr:cNvSpPr/>
        </xdr:nvSpPr>
        <xdr:spPr>
          <a:xfrm>
            <a:off x="20296909" y="4858259"/>
            <a:ext cx="1750155" cy="549089"/>
          </a:xfrm>
          <a:prstGeom prst="rect">
            <a:avLst/>
          </a:prstGeom>
          <a:solidFill>
            <a:sysClr val="window" lastClr="FFFFFF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pic>
        <xdr:nvPicPr>
          <xdr:cNvPr id="7" name="Рисунок 6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3620749" y="5500996"/>
            <a:ext cx="7471487" cy="62873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2</xdr:rowOff>
    </xdr:from>
    <xdr:to>
      <xdr:col>12</xdr:col>
      <xdr:colOff>613542</xdr:colOff>
      <xdr:row>19</xdr:row>
      <xdr:rowOff>178019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155520</xdr:colOff>
      <xdr:row>0</xdr:row>
      <xdr:rowOff>180626</xdr:rowOff>
    </xdr:from>
    <xdr:to>
      <xdr:col>0</xdr:col>
      <xdr:colOff>516985</xdr:colOff>
      <xdr:row>2</xdr:row>
      <xdr:rowOff>150101</xdr:rowOff>
    </xdr:to>
    <xdr:sp macro="" textlink="">
      <xdr:nvSpPr>
        <xdr:cNvPr id="3" name="Прямоугольник 2"/>
        <xdr:cNvSpPr/>
      </xdr:nvSpPr>
      <xdr:spPr>
        <a:xfrm>
          <a:off x="155520" y="180626"/>
          <a:ext cx="361465" cy="3600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12700"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800" b="0">
              <a:solidFill>
                <a:srgbClr val="FF0000"/>
              </a:solidFill>
            </a:rPr>
            <a:t>1</a:t>
          </a:r>
          <a:r>
            <a:rPr lang="ru-RU" sz="800" b="0">
              <a:solidFill>
                <a:srgbClr val="FF0000"/>
              </a:solidFill>
            </a:rPr>
            <a:t>см</a:t>
          </a:r>
          <a:endParaRPr lang="ru-RU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12</xdr:col>
      <xdr:colOff>28575</xdr:colOff>
      <xdr:row>30</xdr:row>
      <xdr:rowOff>114300</xdr:rowOff>
    </xdr:to>
    <xdr:sp macro="" textlink="">
      <xdr:nvSpPr>
        <xdr:cNvPr id="8" name="TextBox 7"/>
        <xdr:cNvSpPr txBox="1"/>
      </xdr:nvSpPr>
      <xdr:spPr>
        <a:xfrm>
          <a:off x="0" y="5629275"/>
          <a:ext cx="704850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  <xdr:twoCellAnchor>
    <xdr:from>
      <xdr:col>34</xdr:col>
      <xdr:colOff>482448</xdr:colOff>
      <xdr:row>0</xdr:row>
      <xdr:rowOff>0</xdr:rowOff>
    </xdr:from>
    <xdr:to>
      <xdr:col>49</xdr:col>
      <xdr:colOff>180975</xdr:colOff>
      <xdr:row>28</xdr:row>
      <xdr:rowOff>67235</xdr:rowOff>
    </xdr:to>
    <xdr:grpSp>
      <xdr:nvGrpSpPr>
        <xdr:cNvPr id="11" name="Группа 10"/>
        <xdr:cNvGrpSpPr/>
      </xdr:nvGrpSpPr>
      <xdr:grpSpPr>
        <a:xfrm>
          <a:off x="12074373" y="0"/>
          <a:ext cx="8842527" cy="5506010"/>
          <a:chOff x="12074373" y="0"/>
          <a:chExt cx="8842527" cy="5506010"/>
        </a:xfrm>
      </xdr:grpSpPr>
      <xdr:grpSp>
        <xdr:nvGrpSpPr>
          <xdr:cNvPr id="4" name="Группа 3"/>
          <xdr:cNvGrpSpPr/>
        </xdr:nvGrpSpPr>
        <xdr:grpSpPr>
          <a:xfrm>
            <a:off x="12074373" y="0"/>
            <a:ext cx="8726241" cy="5506010"/>
            <a:chOff x="13414516" y="0"/>
            <a:chExt cx="8632548" cy="6129734"/>
          </a:xfrm>
        </xdr:grpSpPr>
        <xdr:pic>
          <xdr:nvPicPr>
            <xdr:cNvPr id="5" name="Рисунок 4"/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414516" y="0"/>
              <a:ext cx="8477124" cy="5374818"/>
            </a:xfrm>
            <a:prstGeom prst="rect">
              <a:avLst/>
            </a:prstGeom>
          </xdr:spPr>
        </xdr:pic>
        <xdr:sp macro="" textlink="">
          <xdr:nvSpPr>
            <xdr:cNvPr id="6" name="Прямоугольник 5"/>
            <xdr:cNvSpPr/>
          </xdr:nvSpPr>
          <xdr:spPr>
            <a:xfrm>
              <a:off x="20296909" y="4858259"/>
              <a:ext cx="1750155" cy="549089"/>
            </a:xfrm>
            <a:prstGeom prst="rect">
              <a:avLst/>
            </a:prstGeom>
            <a:solidFill>
              <a:sysClr val="window" lastClr="FFFFFF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ru-RU" sz="1100"/>
            </a:p>
          </xdr:txBody>
        </xdr:sp>
        <xdr:pic>
          <xdr:nvPicPr>
            <xdr:cNvPr id="7" name="Рисунок 6"/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3620749" y="5500996"/>
              <a:ext cx="7471487" cy="628738"/>
            </a:xfrm>
            <a:prstGeom prst="rect">
              <a:avLst/>
            </a:prstGeom>
          </xdr:spPr>
        </xdr:pic>
      </xdr:grpSp>
      <xdr:sp macro="" textlink="">
        <xdr:nvSpPr>
          <xdr:cNvPr id="9" name="Овал 8"/>
          <xdr:cNvSpPr/>
        </xdr:nvSpPr>
        <xdr:spPr>
          <a:xfrm>
            <a:off x="19697700" y="295275"/>
            <a:ext cx="1219200" cy="685800"/>
          </a:xfrm>
          <a:prstGeom prst="ellipse">
            <a:avLst/>
          </a:prstGeom>
          <a:solidFill>
            <a:srgbClr val="FFCC66">
              <a:alpha val="23922"/>
            </a:srgbClr>
          </a:solidFill>
          <a:ln>
            <a:solidFill>
              <a:srgbClr val="FFC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7</xdr:col>
      <xdr:colOff>161925</xdr:colOff>
      <xdr:row>24</xdr:row>
      <xdr:rowOff>57150</xdr:rowOff>
    </xdr:from>
    <xdr:to>
      <xdr:col>12</xdr:col>
      <xdr:colOff>523874</xdr:colOff>
      <xdr:row>27</xdr:row>
      <xdr:rowOff>133350</xdr:rowOff>
    </xdr:to>
    <xdr:sp macro="" textlink="">
      <xdr:nvSpPr>
        <xdr:cNvPr id="10" name="Овал 9"/>
        <xdr:cNvSpPr/>
      </xdr:nvSpPr>
      <xdr:spPr>
        <a:xfrm>
          <a:off x="4552950" y="4686300"/>
          <a:ext cx="2990849" cy="685800"/>
        </a:xfrm>
        <a:prstGeom prst="ellipse">
          <a:avLst/>
        </a:prstGeom>
        <a:solidFill>
          <a:srgbClr val="FFCC66">
            <a:alpha val="23922"/>
          </a:srgbClr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13138</xdr:colOff>
      <xdr:row>0</xdr:row>
      <xdr:rowOff>0</xdr:rowOff>
    </xdr:from>
    <xdr:to>
      <xdr:col>6</xdr:col>
      <xdr:colOff>26276</xdr:colOff>
      <xdr:row>14</xdr:row>
      <xdr:rowOff>153865</xdr:rowOff>
    </xdr:to>
    <xdr:pic>
      <xdr:nvPicPr>
        <xdr:cNvPr id="5" name="Рисунок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13" t="-3363" r="47231" b="-8758"/>
        <a:stretch/>
      </xdr:blipFill>
      <xdr:spPr>
        <a:xfrm>
          <a:off x="13138" y="0"/>
          <a:ext cx="3676600" cy="3018692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0</xdr:col>
      <xdr:colOff>1</xdr:colOff>
      <xdr:row>0</xdr:row>
      <xdr:rowOff>3</xdr:rowOff>
    </xdr:from>
    <xdr:to>
      <xdr:col>11</xdr:col>
      <xdr:colOff>236483</xdr:colOff>
      <xdr:row>11</xdr:row>
      <xdr:rowOff>48585</xdr:rowOff>
    </xdr:to>
    <xdr:graphicFrame macro="">
      <xdr:nvGraphicFramePr>
        <xdr:cNvPr id="2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11</xdr:col>
      <xdr:colOff>414129</xdr:colOff>
      <xdr:row>18</xdr:row>
      <xdr:rowOff>82826</xdr:rowOff>
    </xdr:to>
    <xdr:sp macro="" textlink="">
      <xdr:nvSpPr>
        <xdr:cNvPr id="7" name="TextBox 6"/>
        <xdr:cNvSpPr txBox="1"/>
      </xdr:nvSpPr>
      <xdr:spPr>
        <a:xfrm>
          <a:off x="0" y="3429000"/>
          <a:ext cx="7230716" cy="273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1" i="1">
              <a:solidFill>
                <a:srgbClr val="CC00CC"/>
              </a:solidFill>
            </a:rPr>
            <a:t>поддержать</a:t>
          </a:r>
          <a:r>
            <a:rPr lang="ru-RU" sz="1100" b="1" i="1" baseline="0">
              <a:solidFill>
                <a:srgbClr val="CC00CC"/>
              </a:solidFill>
            </a:rPr>
            <a:t> разработчика рублём можно переводом по тел. +79106812937 </a:t>
          </a:r>
          <a:r>
            <a:rPr lang="ru-RU" sz="1100" b="1" i="1" baseline="0">
              <a:solidFill>
                <a:srgbClr val="CC00CC"/>
              </a:solidFill>
              <a:effectLst/>
              <a:latin typeface="+mn-lt"/>
              <a:ea typeface="+mn-ea"/>
              <a:cs typeface="+mn-cs"/>
            </a:rPr>
            <a:t>спасибо.  </a:t>
          </a:r>
          <a:r>
            <a:rPr kumimoji="0" lang="ru-RU" sz="1100" b="1" i="1" u="none" strike="noStrike" kern="0" cap="none" spc="0" normalizeH="0" baseline="0" noProof="0">
              <a:ln>
                <a:noFill/>
              </a:ln>
              <a:solidFill>
                <a:srgbClr val="CC00CC"/>
              </a:solidFill>
              <a:effectLst/>
              <a:uLnTx/>
              <a:uFillTx/>
              <a:latin typeface="+mn-lt"/>
            </a:rPr>
            <a:t>( Александр Грибков.)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1"/>
  <sheetViews>
    <sheetView showGridLines="0" zoomScaleNormal="100" workbookViewId="0">
      <pane xSplit="15" ySplit="23" topLeftCell="P24" activePane="bottomRight" state="frozen"/>
      <selection activeCell="C35" sqref="C35"/>
      <selection pane="topRight" activeCell="C35" sqref="C35"/>
      <selection pane="bottomLeft" activeCell="C35" sqref="C35"/>
      <selection pane="bottomRight" activeCell="B22" sqref="B22"/>
    </sheetView>
  </sheetViews>
  <sheetFormatPr defaultRowHeight="15" x14ac:dyDescent="0.25"/>
  <cols>
    <col min="2" max="2" width="10.140625" bestFit="1" customWidth="1"/>
    <col min="3" max="3" width="10.5703125" bestFit="1" customWidth="1"/>
    <col min="4" max="4" width="6.7109375" bestFit="1" customWidth="1"/>
    <col min="5" max="5" width="10.5703125" bestFit="1" customWidth="1"/>
    <col min="7" max="7" width="5" customWidth="1"/>
    <col min="8" max="8" width="3.28515625" customWidth="1"/>
    <col min="9" max="9" width="10" bestFit="1" customWidth="1"/>
    <col min="10" max="10" width="10.5703125" bestFit="1" customWidth="1"/>
    <col min="11" max="11" width="9.5703125" customWidth="1"/>
    <col min="12" max="12" width="10.5703125" bestFit="1" customWidth="1"/>
    <col min="13" max="13" width="3.28515625" customWidth="1"/>
    <col min="14" max="45" width="8.140625" customWidth="1"/>
    <col min="46" max="46" width="5.85546875" customWidth="1"/>
    <col min="47" max="48" width="5.28515625" bestFit="1" customWidth="1"/>
  </cols>
  <sheetData>
    <row r="1" spans="2:48" x14ac:dyDescent="0.25">
      <c r="AU1" s="13" t="s">
        <v>16</v>
      </c>
      <c r="AV1" s="13" t="s">
        <v>17</v>
      </c>
    </row>
    <row r="2" spans="2:48" x14ac:dyDescent="0.25">
      <c r="AH2" s="105" t="s">
        <v>49</v>
      </c>
      <c r="AI2" s="105" t="s">
        <v>50</v>
      </c>
      <c r="AJ2" s="57"/>
      <c r="AK2" s="57"/>
      <c r="AL2" s="57"/>
      <c r="AM2" s="57"/>
      <c r="AN2" s="97">
        <f>AO2+1</f>
        <v>5</v>
      </c>
      <c r="AO2" s="97">
        <f>IF(IF(VLOOKUP(MIN(AL4:AL10),AL4:AM10,2,0)&lt;0,VLOOKUP(MIN(AL4:AL10),AL4:AN10,3,0),VLOOKUP(MIN(AL4:AL10),AL4:AN10,3,0)-1)=0,1,IF(VLOOKUP(MIN(AL4:AL10),AL4:AM10,2,0)&lt;0,VLOOKUP(MIN(AL4:AL10),AL4:AN10,3,0),VLOOKUP(MIN(AL4:AL10),AL4:AN10,3,0)-1))</f>
        <v>4</v>
      </c>
      <c r="AP2" s="57"/>
      <c r="AQ2" s="57"/>
      <c r="AU2" s="13"/>
      <c r="AV2" s="13"/>
    </row>
    <row r="3" spans="2:48" x14ac:dyDescent="0.25">
      <c r="AH3" s="108">
        <v>0</v>
      </c>
      <c r="AI3" s="109">
        <f>E18</f>
        <v>127.37951322773867</v>
      </c>
      <c r="AJ3" s="58"/>
      <c r="AK3" s="58"/>
      <c r="AL3" s="57"/>
      <c r="AM3" s="57"/>
      <c r="AN3" s="96">
        <f>AO3+1</f>
        <v>4</v>
      </c>
      <c r="AO3" s="96">
        <f>IF(IF(VLOOKUP(MIN(AJ4:AJ10),AJ4:AK10,2,0)&lt;0,VLOOKUP(MIN(AJ4:AJ10),AJ4:AN10,5,0),VLOOKUP(MIN(AJ4:AJ10),AJ4:AN10,5,0)-1)=0,1,IF(VLOOKUP(MIN(AJ4:AJ10),AJ4:AK10,2,0)&lt;0,VLOOKUP(MIN(AJ4:AJ10),AJ4:AN10,5,0),VLOOKUP(MIN(AJ4:AJ10),AJ4:AN10,5,0)-1))</f>
        <v>3</v>
      </c>
      <c r="AP3" s="57"/>
      <c r="AQ3" s="57"/>
      <c r="AS3" s="9">
        <v>0</v>
      </c>
      <c r="AT3" s="56">
        <f>C18</f>
        <v>1.29</v>
      </c>
      <c r="AU3" s="13">
        <v>2000</v>
      </c>
      <c r="AV3" s="13">
        <v>2.27</v>
      </c>
    </row>
    <row r="4" spans="2:48" x14ac:dyDescent="0.25">
      <c r="AH4" s="108">
        <f>D18</f>
        <v>50</v>
      </c>
      <c r="AI4" s="109">
        <f>E18</f>
        <v>127.37951322773867</v>
      </c>
      <c r="AJ4" s="96">
        <f t="shared" ref="AJ4:AJ10" si="0">ABS($B$21-AQ4)</f>
        <v>1</v>
      </c>
      <c r="AK4" s="133">
        <f>$B$21-AQ4</f>
        <v>-1</v>
      </c>
      <c r="AL4" s="121">
        <f>ABS($C$18-AQ4)</f>
        <v>1.21</v>
      </c>
      <c r="AM4" s="121">
        <f>$C$18-AQ4</f>
        <v>-1.21</v>
      </c>
      <c r="AN4" s="57">
        <v>1</v>
      </c>
      <c r="AO4" s="57">
        <v>15.234</v>
      </c>
      <c r="AP4" s="57">
        <v>0.65910000000000002</v>
      </c>
      <c r="AQ4" s="57">
        <v>2.5</v>
      </c>
      <c r="AS4" s="9">
        <f>B18</f>
        <v>3500</v>
      </c>
      <c r="AT4" s="56">
        <f>C18</f>
        <v>1.29</v>
      </c>
      <c r="AU4" s="13">
        <v>2250</v>
      </c>
      <c r="AV4" s="13">
        <v>2</v>
      </c>
    </row>
    <row r="5" spans="2:48" x14ac:dyDescent="0.25">
      <c r="AH5" s="108">
        <f>D18</f>
        <v>50</v>
      </c>
      <c r="AI5" s="109">
        <v>0</v>
      </c>
      <c r="AJ5" s="96">
        <f t="shared" si="0"/>
        <v>0.5</v>
      </c>
      <c r="AK5" s="133">
        <f t="shared" ref="AK5:AK10" si="1">$B$21-AQ5</f>
        <v>-0.5</v>
      </c>
      <c r="AL5" s="121">
        <f t="shared" ref="AL5:AL10" si="2">ABS($C$18-AQ5)</f>
        <v>0.71</v>
      </c>
      <c r="AM5" s="121">
        <f t="shared" ref="AM5:AM10" si="3">$C$18-AQ5</f>
        <v>-0.71</v>
      </c>
      <c r="AN5" s="57">
        <v>2</v>
      </c>
      <c r="AO5" s="57">
        <v>14.212</v>
      </c>
      <c r="AP5" s="57">
        <v>0.63500000000000001</v>
      </c>
      <c r="AQ5" s="57">
        <v>2</v>
      </c>
      <c r="AS5" s="9">
        <f>B18</f>
        <v>3500</v>
      </c>
      <c r="AT5" s="9">
        <v>0</v>
      </c>
      <c r="AU5" s="13">
        <v>4000</v>
      </c>
      <c r="AV5" s="13">
        <v>1.1299999999999999</v>
      </c>
    </row>
    <row r="6" spans="2:48" x14ac:dyDescent="0.25">
      <c r="AH6" s="105"/>
      <c r="AI6" s="105"/>
      <c r="AJ6" s="96">
        <f t="shared" si="0"/>
        <v>0.25</v>
      </c>
      <c r="AK6" s="133">
        <f t="shared" si="1"/>
        <v>-0.25</v>
      </c>
      <c r="AL6" s="121">
        <f t="shared" si="2"/>
        <v>0.45999999999999996</v>
      </c>
      <c r="AM6" s="121">
        <f t="shared" si="3"/>
        <v>-0.45999999999999996</v>
      </c>
      <c r="AN6" s="57">
        <v>3</v>
      </c>
      <c r="AO6" s="57">
        <v>12.988</v>
      </c>
      <c r="AP6" s="57">
        <v>0.63470000000000004</v>
      </c>
      <c r="AQ6" s="57">
        <v>1.75</v>
      </c>
      <c r="AS6" s="9"/>
      <c r="AT6" s="9"/>
      <c r="AU6" s="13">
        <v>4500</v>
      </c>
      <c r="AV6" s="13">
        <v>1</v>
      </c>
    </row>
    <row r="7" spans="2:48" x14ac:dyDescent="0.25">
      <c r="AH7" s="106">
        <v>0</v>
      </c>
      <c r="AI7" s="107">
        <f>E21</f>
        <v>141.78728612803459</v>
      </c>
      <c r="AJ7" s="96">
        <f t="shared" si="0"/>
        <v>0</v>
      </c>
      <c r="AK7" s="133">
        <f t="shared" si="1"/>
        <v>0</v>
      </c>
      <c r="AL7" s="121">
        <f t="shared" si="2"/>
        <v>0.20999999999999996</v>
      </c>
      <c r="AM7" s="121">
        <f t="shared" si="3"/>
        <v>-0.20999999999999996</v>
      </c>
      <c r="AN7" s="59">
        <v>4</v>
      </c>
      <c r="AO7" s="59">
        <v>11.438000000000001</v>
      </c>
      <c r="AP7" s="59">
        <v>0.64349999999999996</v>
      </c>
      <c r="AQ7" s="59">
        <v>1.5</v>
      </c>
      <c r="AS7" s="9">
        <v>0</v>
      </c>
      <c r="AT7" s="56">
        <f>B21</f>
        <v>1.5</v>
      </c>
      <c r="AU7" s="13"/>
    </row>
    <row r="8" spans="2:48" x14ac:dyDescent="0.25">
      <c r="AH8" s="106">
        <f>D21</f>
        <v>50</v>
      </c>
      <c r="AI8" s="107">
        <f>E21</f>
        <v>141.78728612803459</v>
      </c>
      <c r="AJ8" s="96">
        <f t="shared" si="0"/>
        <v>0.25</v>
      </c>
      <c r="AK8" s="133">
        <f t="shared" si="1"/>
        <v>0.25</v>
      </c>
      <c r="AL8" s="121">
        <f t="shared" si="2"/>
        <v>4.0000000000000036E-2</v>
      </c>
      <c r="AM8" s="121">
        <f t="shared" si="3"/>
        <v>4.0000000000000036E-2</v>
      </c>
      <c r="AN8" s="57">
        <v>5</v>
      </c>
      <c r="AO8" s="59">
        <v>9.7904</v>
      </c>
      <c r="AP8" s="59">
        <v>0.65029999999999999</v>
      </c>
      <c r="AQ8" s="59">
        <v>1.25</v>
      </c>
      <c r="AS8" s="120">
        <f>C21</f>
        <v>3002.2321407585109</v>
      </c>
      <c r="AT8" s="56">
        <f>B21</f>
        <v>1.5</v>
      </c>
    </row>
    <row r="9" spans="2:48" x14ac:dyDescent="0.25">
      <c r="AH9" s="106">
        <f>D21</f>
        <v>50</v>
      </c>
      <c r="AI9" s="106">
        <v>0</v>
      </c>
      <c r="AJ9" s="96">
        <f t="shared" si="0"/>
        <v>0.5</v>
      </c>
      <c r="AK9" s="133">
        <f t="shared" si="1"/>
        <v>0.5</v>
      </c>
      <c r="AL9" s="121">
        <f t="shared" si="2"/>
        <v>0.29000000000000004</v>
      </c>
      <c r="AM9" s="121">
        <f t="shared" si="3"/>
        <v>0.29000000000000004</v>
      </c>
      <c r="AN9" s="57">
        <v>6</v>
      </c>
      <c r="AO9" s="59">
        <v>8.8280999999999992</v>
      </c>
      <c r="AP9" s="59">
        <v>0.63500000000000001</v>
      </c>
      <c r="AQ9" s="59">
        <v>1</v>
      </c>
      <c r="AS9" s="120">
        <f>C21</f>
        <v>3002.2321407585109</v>
      </c>
      <c r="AT9" s="9">
        <v>0</v>
      </c>
    </row>
    <row r="10" spans="2:48" x14ac:dyDescent="0.25">
      <c r="AH10" s="57"/>
      <c r="AI10" s="57"/>
      <c r="AJ10" s="96">
        <f t="shared" si="0"/>
        <v>0.75</v>
      </c>
      <c r="AK10" s="133">
        <f t="shared" si="1"/>
        <v>0.75</v>
      </c>
      <c r="AL10" s="121">
        <f t="shared" si="2"/>
        <v>0.54</v>
      </c>
      <c r="AM10" s="121">
        <f t="shared" si="3"/>
        <v>0.54</v>
      </c>
      <c r="AN10" s="57">
        <v>7</v>
      </c>
      <c r="AO10" s="59">
        <v>7.2851999999999997</v>
      </c>
      <c r="AP10" s="59">
        <v>0.63970000000000005</v>
      </c>
      <c r="AQ10" s="59">
        <v>0.75</v>
      </c>
    </row>
    <row r="11" spans="2:48" x14ac:dyDescent="0.25">
      <c r="AH11" s="53"/>
      <c r="AI11" s="53"/>
      <c r="AJ11" s="96"/>
      <c r="AK11" s="96"/>
      <c r="AL11" s="97"/>
      <c r="AM11" s="97"/>
      <c r="AN11" s="57"/>
      <c r="AO11" s="57"/>
      <c r="AP11" s="57"/>
      <c r="AQ11" s="57"/>
    </row>
    <row r="12" spans="2:48" x14ac:dyDescent="0.25">
      <c r="AH12" s="53"/>
      <c r="AI12" s="53"/>
      <c r="AJ12" s="53"/>
      <c r="AK12" s="53"/>
      <c r="AL12" s="53"/>
      <c r="AM12" s="53"/>
      <c r="AN12" s="53"/>
      <c r="AO12" s="53"/>
      <c r="AP12" s="53"/>
      <c r="AQ12" s="53"/>
    </row>
    <row r="13" spans="2:48" x14ac:dyDescent="0.25">
      <c r="AH13" s="53"/>
      <c r="AI13" s="53"/>
      <c r="AJ13" s="101" t="s">
        <v>51</v>
      </c>
      <c r="AK13" s="101"/>
      <c r="AL13" s="99"/>
      <c r="AM13" s="99"/>
      <c r="AO13" s="96" t="s">
        <v>52</v>
      </c>
      <c r="AP13" s="57"/>
      <c r="AQ13" s="57"/>
    </row>
    <row r="14" spans="2:48" x14ac:dyDescent="0.25">
      <c r="AH14" s="55"/>
      <c r="AI14" s="53"/>
      <c r="AJ14" s="122">
        <f>(C18-(VLOOKUP(AN2,AN4:AQ10,4,0)))/((VLOOKUP(AO2,AN4:AQ10,4,0))-(VLOOKUP(AN2,AN4:AQ10,4,0)))</f>
        <v>0.16000000000000014</v>
      </c>
      <c r="AK14" s="111"/>
      <c r="AL14" s="112"/>
      <c r="AM14" s="112"/>
      <c r="AO14" s="114">
        <f>(B21-(VLOOKUP(AN3,AN4:AQ10,4,0)))/((VLOOKUP(AO3,AN4:AQ10,4,0))-(VLOOKUP(AN3,AN4:AQ10,4,0)))</f>
        <v>0</v>
      </c>
      <c r="AP14" s="110"/>
      <c r="AQ14" s="110"/>
    </row>
    <row r="15" spans="2:48" x14ac:dyDescent="0.25">
      <c r="AH15" s="53"/>
      <c r="AI15" s="53"/>
      <c r="AJ15" s="103" t="s">
        <v>53</v>
      </c>
      <c r="AK15" s="103"/>
      <c r="AL15" s="103" t="s">
        <v>54</v>
      </c>
      <c r="AM15" s="103"/>
      <c r="AN15" s="57"/>
      <c r="AO15" s="102" t="s">
        <v>53</v>
      </c>
      <c r="AP15" s="102" t="s">
        <v>54</v>
      </c>
      <c r="AQ15" s="57"/>
    </row>
    <row r="16" spans="2:48" x14ac:dyDescent="0.25">
      <c r="B16" s="73" t="s">
        <v>14</v>
      </c>
      <c r="C16" s="69" t="s">
        <v>15</v>
      </c>
      <c r="D16" s="73" t="s">
        <v>14</v>
      </c>
      <c r="E16" s="71" t="s">
        <v>15</v>
      </c>
      <c r="AH16" s="3"/>
      <c r="AI16" s="3"/>
      <c r="AJ16" s="113">
        <f>(VLOOKUP(AO2,AN4:AP11,2,0))*POWER(D18,(VLOOKUP(AO2,AN4:AP11,3,0)))</f>
        <v>141.78728612803459</v>
      </c>
      <c r="AK16" s="113"/>
      <c r="AL16" s="113">
        <f>(VLOOKUP(AN2,AN4:AP11,2,0))*POWER(D18,(VLOOKUP(AN2,AN4:AP11,3,0)))</f>
        <v>124.63517553244421</v>
      </c>
      <c r="AM16" s="113"/>
      <c r="AN16" s="57"/>
      <c r="AO16" s="115">
        <f>(VLOOKUP(AO3,AN4:AP11,2,0))*POWER(D21,(VLOOKUP(AO3,AN4:AP11,3,0)))</f>
        <v>155.55305385636112</v>
      </c>
      <c r="AP16" s="115">
        <f>(VLOOKUP(AN3,AN4:AP11,2,0))*POWER(D21,(VLOOKUP(AN3,AN4:AP11,3,0)))</f>
        <v>141.78728612803459</v>
      </c>
      <c r="AQ16" s="57"/>
    </row>
    <row r="17" spans="2:43" x14ac:dyDescent="0.25">
      <c r="B17" s="74" t="s">
        <v>18</v>
      </c>
      <c r="C17" s="70" t="s">
        <v>11</v>
      </c>
      <c r="D17" s="76" t="s">
        <v>13</v>
      </c>
      <c r="E17" s="72" t="s">
        <v>12</v>
      </c>
      <c r="AI17" s="3"/>
      <c r="AJ17" s="57"/>
      <c r="AK17" s="57"/>
      <c r="AL17" s="62"/>
      <c r="AM17" s="62"/>
      <c r="AN17" s="62"/>
      <c r="AO17" s="62"/>
      <c r="AP17" s="62"/>
      <c r="AQ17" s="62"/>
    </row>
    <row r="18" spans="2:43" x14ac:dyDescent="0.25">
      <c r="B18" s="79">
        <v>3500</v>
      </c>
      <c r="C18" s="124">
        <f>ROUND(4687.3*POWER(B18,-1.005),2)</f>
        <v>1.29</v>
      </c>
      <c r="D18" s="79">
        <v>50</v>
      </c>
      <c r="E18" s="125">
        <f>AL16+(AJ16-AL16)*AJ14</f>
        <v>127.37951322773867</v>
      </c>
    </row>
    <row r="19" spans="2:43" ht="7.5" customHeight="1" x14ac:dyDescent="0.25"/>
    <row r="20" spans="2:43" x14ac:dyDescent="0.25">
      <c r="B20" s="76" t="s">
        <v>11</v>
      </c>
      <c r="C20" s="72" t="s">
        <v>18</v>
      </c>
      <c r="D20" s="76" t="s">
        <v>13</v>
      </c>
      <c r="E20" s="72" t="s">
        <v>12</v>
      </c>
    </row>
    <row r="21" spans="2:43" x14ac:dyDescent="0.25">
      <c r="B21" s="123">
        <v>1.5</v>
      </c>
      <c r="C21" s="126">
        <f>(B21/4687.3)^(1/-1.005)</f>
        <v>3002.2321407585109</v>
      </c>
      <c r="D21" s="80">
        <v>50</v>
      </c>
      <c r="E21" s="126">
        <f>AP16+(AO16-AP16)*AO14</f>
        <v>141.78728612803459</v>
      </c>
    </row>
  </sheetData>
  <sheetProtection password="CCE2" sheet="1" objects="1" scenarios="1"/>
  <customSheetViews>
    <customSheetView guid="{D742600D-D7D6-4AD5-ABD5-876A4BE74A8D}" showGridLines="0">
      <pane xSplit="15" ySplit="23" topLeftCell="P39" activePane="bottomRight" state="frozen"/>
      <selection pane="bottomRight" activeCell="Q12" sqref="Q12"/>
      <pageMargins left="0.7" right="0.7" top="0.75" bottom="0.75" header="0.3" footer="0.3"/>
      <pageSetup paperSize="9" orientation="portrait" r:id="rId1"/>
    </customSheetView>
  </customSheetViews>
  <dataValidations count="4">
    <dataValidation type="decimal" allowBlank="1" showInputMessage="1" showErrorMessage="1" errorTitle="ВНЕ ДИАПАЗОНА" error=" введи значение от 0,75 до 2,5" promptTitle="введи значение" prompt=" от 0,75 до 2,5" sqref="B21">
      <formula1>0.75</formula1>
      <formula2>2.5</formula2>
    </dataValidation>
    <dataValidation type="whole" allowBlank="1" showInputMessage="1" showErrorMessage="1" errorTitle="ЗНАЧЕНИЕ ВНЕ ДИАПАЗОНА 1000-6000" error="введи значение от 1000 до 6000" promptTitle="введи значение" prompt="от 1000 до 6000" sqref="B18">
      <formula1>1000</formula1>
      <formula2>6000</formula2>
    </dataValidation>
    <dataValidation type="decimal" allowBlank="1" showInputMessage="1" showErrorMessage="1" errorTitle="недопустимое значение мощности" error="введи значение от 5 до 110" promptTitle="введи значение " prompt="от 5 до 110" sqref="D18">
      <formula1>5</formula1>
      <formula2>110</formula2>
    </dataValidation>
    <dataValidation type="decimal" allowBlank="1" showInputMessage="1" showErrorMessage="1" errorTitle="недопустимое значение мощности" error="введи значение от 5 до 110" promptTitle="введи значение" prompt="от 5 до 110" sqref="D21">
      <formula1>5</formula1>
      <formula2>110</formula2>
    </dataValidation>
  </dataValidation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1:DZ123"/>
  <sheetViews>
    <sheetView showGridLines="0" zoomScaleNormal="100" workbookViewId="0">
      <pane xSplit="22" ySplit="22" topLeftCell="W107" activePane="bottomRight" state="frozen"/>
      <selection activeCell="C35" sqref="C35"/>
      <selection pane="topRight" activeCell="C35" sqref="C35"/>
      <selection pane="bottomLeft" activeCell="C35" sqref="C35"/>
      <selection pane="bottomRight" activeCell="N6" sqref="N6"/>
    </sheetView>
  </sheetViews>
  <sheetFormatPr defaultRowHeight="15" x14ac:dyDescent="0.25"/>
  <cols>
    <col min="1" max="1" width="9.140625" customWidth="1"/>
    <col min="10" max="10" width="10.5703125" customWidth="1"/>
    <col min="11" max="11" width="1.42578125" customWidth="1"/>
    <col min="12" max="12" width="9.140625" bestFit="1" customWidth="1"/>
    <col min="13" max="13" width="10.28515625" style="8" bestFit="1" customWidth="1"/>
    <col min="14" max="14" width="10.140625" style="8" customWidth="1"/>
    <col min="15" max="15" width="15.140625" style="8" customWidth="1"/>
    <col min="16" max="16" width="17.140625" style="8" customWidth="1"/>
    <col min="17" max="17" width="11.7109375" style="8" customWidth="1"/>
    <col min="18" max="18" width="11" style="8" customWidth="1"/>
    <col min="19" max="19" width="2.7109375" style="8" customWidth="1"/>
    <col min="20" max="20" width="7.140625" style="8" customWidth="1"/>
    <col min="21" max="21" width="6.28515625" style="8" bestFit="1" customWidth="1"/>
    <col min="22" max="22" width="6.5703125" style="8" bestFit="1" customWidth="1"/>
    <col min="23" max="24" width="9.42578125" style="8" customWidth="1"/>
    <col min="25" max="35" width="12.5703125" style="8" customWidth="1"/>
    <col min="36" max="36" width="11.42578125" style="8" customWidth="1"/>
    <col min="37" max="37" width="6.7109375" style="8" bestFit="1" customWidth="1"/>
    <col min="38" max="39" width="7.85546875" style="8" customWidth="1"/>
    <col min="40" max="40" width="10.42578125" style="8" bestFit="1" customWidth="1"/>
    <col min="41" max="41" width="7.85546875" style="8" customWidth="1"/>
    <col min="42" max="42" width="7.7109375" style="8" bestFit="1" customWidth="1"/>
    <col min="43" max="43" width="8.7109375" style="8" bestFit="1" customWidth="1"/>
    <col min="44" max="44" width="5.7109375" style="8" bestFit="1" customWidth="1"/>
    <col min="45" max="46" width="9.42578125" style="8" customWidth="1"/>
    <col min="47" max="47" width="8" style="5" customWidth="1"/>
    <col min="48" max="48" width="8.85546875" style="6" customWidth="1"/>
    <col min="49" max="49" width="4.85546875" style="6" bestFit="1" customWidth="1"/>
    <col min="50" max="51" width="5.85546875" style="6" bestFit="1" customWidth="1"/>
    <col min="52" max="52" width="6.42578125" style="6" bestFit="1" customWidth="1"/>
    <col min="53" max="53" width="6.7109375" style="5" customWidth="1"/>
    <col min="54" max="54" width="7.5703125" style="6" customWidth="1"/>
    <col min="55" max="56" width="6" style="6" customWidth="1"/>
    <col min="57" max="57" width="5.7109375" style="1" customWidth="1"/>
    <col min="58" max="58" width="6" style="1" bestFit="1" customWidth="1"/>
    <col min="59" max="59" width="6" style="1" customWidth="1"/>
  </cols>
  <sheetData>
    <row r="1" spans="12:69" ht="28.5" customHeight="1" x14ac:dyDescent="0.25">
      <c r="L1" s="90" t="s">
        <v>47</v>
      </c>
      <c r="M1" s="90" t="s">
        <v>42</v>
      </c>
      <c r="N1" s="90" t="s">
        <v>41</v>
      </c>
      <c r="O1" s="87" t="s">
        <v>40</v>
      </c>
      <c r="P1" s="90" t="s">
        <v>41</v>
      </c>
      <c r="Q1" s="90" t="s">
        <v>57</v>
      </c>
      <c r="R1" s="128" t="s">
        <v>56</v>
      </c>
      <c r="AI1" s="8" t="s">
        <v>58</v>
      </c>
      <c r="AJ1" s="8" t="s">
        <v>59</v>
      </c>
      <c r="AV1" s="36" t="s">
        <v>16</v>
      </c>
      <c r="AW1" s="6">
        <v>150</v>
      </c>
      <c r="AX1" s="6">
        <v>500</v>
      </c>
      <c r="AY1" s="6">
        <v>450</v>
      </c>
      <c r="AZ1" s="45" t="s">
        <v>34</v>
      </c>
      <c r="BB1" s="46" t="s">
        <v>37</v>
      </c>
      <c r="BC1" s="46" t="s">
        <v>36</v>
      </c>
      <c r="BD1" s="46"/>
    </row>
    <row r="2" spans="12:69" ht="30" customHeight="1" x14ac:dyDescent="0.25">
      <c r="L2" s="91"/>
      <c r="M2" s="92"/>
      <c r="N2" s="92"/>
      <c r="O2" s="178" t="s">
        <v>63</v>
      </c>
      <c r="P2" s="180" t="s">
        <v>67</v>
      </c>
      <c r="Q2" s="93"/>
      <c r="R2" s="93"/>
      <c r="AI2" s="8">
        <v>0</v>
      </c>
      <c r="AJ2" s="8">
        <f>(AK18-(AK18-AM18)*AK16)</f>
        <v>60.304000000000002</v>
      </c>
      <c r="AK2" s="116">
        <v>1</v>
      </c>
      <c r="AL2" s="116"/>
      <c r="AM2" s="103">
        <f>AN2+1</f>
        <v>4</v>
      </c>
      <c r="AN2" s="103">
        <f>IF(IF(VLOOKUP(MIN(AK6:AK12),AK6:AL12,2,0)&lt;0,VLOOKUP(MIN(AK6:AK12),AK6:AM12,3,0),VLOOKUP(MIN(AK6:AK12),AK6:AM12,3,0)-1)=0,1,IF(VLOOKUP(MIN(AK6:AK12),AK6:AL12,2,0)&lt;0,VLOOKUP(MIN(AK6:AK12),AK6:AM12,3,0),VLOOKUP(MIN(AK6:AK12),AK6:AM12,3,0)-1))</f>
        <v>3</v>
      </c>
      <c r="AP2" s="100"/>
      <c r="AS2" s="104"/>
      <c r="AV2" s="41" t="s">
        <v>31</v>
      </c>
      <c r="AW2" s="6" t="s">
        <v>32</v>
      </c>
      <c r="AX2" s="6" t="s">
        <v>32</v>
      </c>
      <c r="AY2" s="6" t="s">
        <v>32</v>
      </c>
      <c r="AZ2" s="6" t="s">
        <v>19</v>
      </c>
      <c r="BA2" s="6" t="s">
        <v>33</v>
      </c>
      <c r="BB2" s="41" t="s">
        <v>31</v>
      </c>
      <c r="BC2" s="35" t="s">
        <v>35</v>
      </c>
      <c r="BD2" s="35"/>
      <c r="BE2" s="35" t="s">
        <v>31</v>
      </c>
      <c r="BF2" s="38" t="s">
        <v>19</v>
      </c>
      <c r="BG2" s="38" t="s">
        <v>35</v>
      </c>
      <c r="BI2" s="31"/>
      <c r="BJ2" s="31">
        <v>2.5</v>
      </c>
      <c r="BK2" s="31">
        <v>2</v>
      </c>
      <c r="BL2" s="34">
        <v>1.75</v>
      </c>
      <c r="BM2" s="31">
        <v>1.5</v>
      </c>
      <c r="BN2" s="31">
        <v>1.4</v>
      </c>
      <c r="BO2" s="32">
        <v>1.25</v>
      </c>
      <c r="BP2" s="31">
        <v>1.1000000000000001</v>
      </c>
      <c r="BQ2" s="31">
        <v>1</v>
      </c>
    </row>
    <row r="3" spans="12:69" x14ac:dyDescent="0.25">
      <c r="L3" s="176" t="s">
        <v>46</v>
      </c>
      <c r="M3" s="176"/>
      <c r="N3" s="177"/>
      <c r="O3" s="179"/>
      <c r="P3" s="181"/>
      <c r="Q3" s="92"/>
      <c r="R3" s="92"/>
      <c r="AI3" s="8">
        <f>M18</f>
        <v>50</v>
      </c>
      <c r="AJ3" s="8">
        <f>(AK18-(AK18-AM18)*AK16)</f>
        <v>60.304000000000002</v>
      </c>
      <c r="AV3" s="48">
        <v>10</v>
      </c>
      <c r="AW3" s="49">
        <f>($AW$1)*BA3</f>
        <v>25.500000000000004</v>
      </c>
      <c r="AX3" s="49">
        <f>AX$1*$BA3</f>
        <v>85</v>
      </c>
      <c r="AY3" s="49">
        <f>AY$1*$BA3</f>
        <v>76.5</v>
      </c>
      <c r="AZ3" s="6">
        <f t="shared" ref="AZ3:AZ34" si="0">ROUND((0.000179*POWER(AV3,3))-(0.0239*(AV3*AV3))+(1.3934*AV3)+13.802,2)</f>
        <v>25.53</v>
      </c>
      <c r="BA3" s="50">
        <f>ROUND(AZ3/$AW$1,3)</f>
        <v>0.17</v>
      </c>
      <c r="BB3" s="48">
        <v>10</v>
      </c>
      <c r="BC3" s="47">
        <f>ROUND((0.00000611*POWER(BB3,3))-(0.00079*(BB3*BB3))+0.0345*BB3+0.1295,2)</f>
        <v>0.4</v>
      </c>
      <c r="BD3" s="47"/>
      <c r="BE3" s="4">
        <v>10</v>
      </c>
      <c r="BF3" s="51">
        <v>25.48</v>
      </c>
      <c r="BG3" s="52">
        <v>0.4</v>
      </c>
      <c r="BI3" s="31" t="s">
        <v>10</v>
      </c>
      <c r="BJ3" s="31" t="s">
        <v>19</v>
      </c>
      <c r="BK3" s="31" t="s">
        <v>19</v>
      </c>
      <c r="BL3" s="34" t="s">
        <v>19</v>
      </c>
      <c r="BM3" s="31" t="s">
        <v>19</v>
      </c>
      <c r="BN3" s="31"/>
      <c r="BO3" s="31" t="s">
        <v>19</v>
      </c>
      <c r="BP3" s="31" t="s">
        <v>19</v>
      </c>
      <c r="BQ3" s="31" t="s">
        <v>19</v>
      </c>
    </row>
    <row r="4" spans="12:69" x14ac:dyDescent="0.25">
      <c r="L4" s="85"/>
      <c r="M4" s="75" t="s">
        <v>14</v>
      </c>
      <c r="N4" s="75" t="s">
        <v>14</v>
      </c>
      <c r="O4" s="136" t="s">
        <v>15</v>
      </c>
      <c r="P4" s="136" t="s">
        <v>15</v>
      </c>
      <c r="Q4" s="136" t="s">
        <v>15</v>
      </c>
      <c r="R4" s="136" t="s">
        <v>15</v>
      </c>
      <c r="AI4" s="8">
        <f>M18</f>
        <v>50</v>
      </c>
      <c r="AJ4" s="8">
        <v>0</v>
      </c>
      <c r="AR4" s="98" t="s">
        <v>17</v>
      </c>
      <c r="AS4" s="8" t="s">
        <v>48</v>
      </c>
      <c r="AU4" s="39"/>
      <c r="AV4" s="6">
        <v>10.5</v>
      </c>
      <c r="AW4" s="37">
        <f t="shared" ref="AW4:AW34" si="1">($AW$1)*BA4</f>
        <v>25.95</v>
      </c>
      <c r="AX4" s="37">
        <f t="shared" ref="AX4:AX35" si="2">($AX$1)*BA4</f>
        <v>86.5</v>
      </c>
      <c r="AY4" s="37">
        <f t="shared" ref="AY4:AY35" si="3">AY$1*$BA4</f>
        <v>77.849999999999994</v>
      </c>
      <c r="AZ4" s="6">
        <f t="shared" si="0"/>
        <v>26</v>
      </c>
      <c r="BA4" s="50">
        <f t="shared" ref="BA4:BA67" si="4">ROUND(AZ4/$AW$1,3)</f>
        <v>0.17299999999999999</v>
      </c>
      <c r="BB4" s="6">
        <v>10.5</v>
      </c>
      <c r="BC4" s="47">
        <f t="shared" ref="BC4:BC67" si="5">ROUND((0.00000611*POWER(BB4,3))-(0.00079*(BB4*BB4))+0.0345*BB4+0.1295,2)</f>
        <v>0.41</v>
      </c>
      <c r="BD4" s="47"/>
      <c r="BE4" s="4">
        <v>12.5</v>
      </c>
      <c r="BF4" s="51">
        <v>28</v>
      </c>
      <c r="BG4" s="52">
        <v>0.45</v>
      </c>
      <c r="BI4" s="33">
        <v>10</v>
      </c>
      <c r="BJ4" s="31"/>
      <c r="BK4" s="31">
        <v>21.3</v>
      </c>
      <c r="BL4" s="31">
        <v>27</v>
      </c>
      <c r="BM4" s="31">
        <v>35</v>
      </c>
      <c r="BN4" s="31">
        <f>((($BN$2-$BO$2)/($BM$2-$BO$2))*(BO4-BM4))+BM4</f>
        <v>43.099999999999994</v>
      </c>
      <c r="BO4" s="31">
        <v>48.5</v>
      </c>
      <c r="BP4" s="31">
        <v>59</v>
      </c>
      <c r="BQ4" s="31">
        <v>70</v>
      </c>
    </row>
    <row r="5" spans="12:69" ht="18.75" x14ac:dyDescent="0.25">
      <c r="L5" s="83" t="s">
        <v>11</v>
      </c>
      <c r="M5" s="88" t="s">
        <v>43</v>
      </c>
      <c r="N5" s="89" t="s">
        <v>18</v>
      </c>
      <c r="O5" s="137" t="s">
        <v>64</v>
      </c>
      <c r="P5" s="138" t="s">
        <v>18</v>
      </c>
      <c r="Q5" s="138" t="s">
        <v>39</v>
      </c>
      <c r="R5" s="138" t="s">
        <v>38</v>
      </c>
      <c r="AG5" s="8" t="s">
        <v>65</v>
      </c>
      <c r="AH5" s="8" t="s">
        <v>66</v>
      </c>
      <c r="AK5" s="95"/>
      <c r="AL5" s="95"/>
      <c r="AU5" s="39"/>
      <c r="AV5" s="6">
        <v>11</v>
      </c>
      <c r="AW5" s="37">
        <f t="shared" si="1"/>
        <v>26.549999999999997</v>
      </c>
      <c r="AX5" s="37">
        <f t="shared" si="2"/>
        <v>88.5</v>
      </c>
      <c r="AY5" s="37">
        <f t="shared" si="3"/>
        <v>79.649999999999991</v>
      </c>
      <c r="AZ5" s="6">
        <f t="shared" si="0"/>
        <v>26.48</v>
      </c>
      <c r="BA5" s="50">
        <f t="shared" si="4"/>
        <v>0.17699999999999999</v>
      </c>
      <c r="BB5" s="6">
        <v>11</v>
      </c>
      <c r="BC5" s="47">
        <f t="shared" si="5"/>
        <v>0.42</v>
      </c>
      <c r="BD5" s="47"/>
      <c r="BE5" s="4">
        <v>16.5</v>
      </c>
      <c r="BF5" s="51">
        <v>31</v>
      </c>
      <c r="BG5" s="52">
        <v>0.52</v>
      </c>
      <c r="BI5" s="31">
        <v>17.5</v>
      </c>
      <c r="BJ5" s="31"/>
      <c r="BK5" s="31">
        <v>26</v>
      </c>
      <c r="BL5" s="31">
        <v>33</v>
      </c>
      <c r="BM5" s="31">
        <v>43</v>
      </c>
      <c r="BN5" s="31">
        <f>((($BN$2-$BO$2)/($BM$2-$BO$2))*(BO5-BM5))+BM5</f>
        <v>51.999999999999993</v>
      </c>
      <c r="BO5" s="31">
        <v>58</v>
      </c>
      <c r="BP5" s="31">
        <v>72.2</v>
      </c>
      <c r="BQ5" s="42">
        <v>84.6</v>
      </c>
    </row>
    <row r="6" spans="12:69" ht="18.75" x14ac:dyDescent="0.25">
      <c r="L6" s="84">
        <v>1</v>
      </c>
      <c r="M6" s="170">
        <v>17.5</v>
      </c>
      <c r="N6" s="86">
        <v>4500</v>
      </c>
      <c r="O6" s="163">
        <f t="shared" ref="O6:O11" si="6">IF(ROUND(((AN6*POWER(M6,3))-(AO6*(M6*M6))+(AP6*M6)+AQ6)/(N6*0.1),3)&gt;0.17,VLOOKUP(ROUND(((AN6*POWER(M6,3))-(AO6*(M6*M6))+(AP6*M6)+AQ6)/(N6*0.1),3),$BA$3:$BB$123,2,1),10)</f>
        <v>12.5</v>
      </c>
      <c r="P6" s="140" t="str">
        <f>CONCATENATE(AG6," - ",AH6)</f>
        <v>4855 - 2263</v>
      </c>
      <c r="Q6" s="140">
        <f t="shared" ref="Q6:Q12" si="7">VLOOKUP(O6,$BB$3:$BC$123,2,0)</f>
        <v>0.45</v>
      </c>
      <c r="R6" s="139">
        <f t="shared" ref="R6:R12" si="8">(Q6*L6*1000)/(3.1415926*2)</f>
        <v>71.619725613053703</v>
      </c>
      <c r="AG6" s="8">
        <f>ROUND(((AN6*POWER(M6,3))-(AO6*(M6*M6))+(AP6*M6)+AQ6)/0.1725*10,0)</f>
        <v>4855</v>
      </c>
      <c r="AH6" s="8">
        <f>ROUND(((AN6*POWER(M6,3))-(AO6*(M6*M6))+(AP6*M6)+AQ6)/0.37*10,0)</f>
        <v>2263</v>
      </c>
      <c r="AI6" s="8">
        <v>0</v>
      </c>
      <c r="AJ6" s="8">
        <f>AJ2</f>
        <v>60.304000000000002</v>
      </c>
      <c r="AK6" s="104">
        <f t="shared" ref="AK6:AK12" si="9">ABS($L$18-AR6)</f>
        <v>0.5</v>
      </c>
      <c r="AL6" s="104">
        <f t="shared" ref="AL6:AL12" si="10">$L$18-AR6</f>
        <v>0.5</v>
      </c>
      <c r="AM6" s="8">
        <v>7</v>
      </c>
      <c r="AN6" s="165">
        <v>2.4000000000000001E-4</v>
      </c>
      <c r="AO6" s="164">
        <v>3.8399999999999997E-2</v>
      </c>
      <c r="AP6" s="164">
        <v>2.7010000000000001</v>
      </c>
      <c r="AQ6" s="164">
        <v>46.951000000000001</v>
      </c>
      <c r="AR6" s="8">
        <v>1</v>
      </c>
      <c r="AS6" s="8">
        <f t="shared" ref="AS6:AS12" si="11">ROUND(((AN6*POWER(M6,3))-(AO6*(M6*M6))+(AP6*M6)+AQ6)/(N6*0.1),3)</f>
        <v>0.186</v>
      </c>
      <c r="AU6" s="39"/>
      <c r="AV6" s="6">
        <v>11.5</v>
      </c>
      <c r="AW6" s="37">
        <f>($AW$1)*BA6</f>
        <v>27</v>
      </c>
      <c r="AX6" s="37">
        <f t="shared" si="2"/>
        <v>90</v>
      </c>
      <c r="AY6" s="37">
        <f t="shared" si="3"/>
        <v>81</v>
      </c>
      <c r="AZ6" s="6">
        <f t="shared" si="0"/>
        <v>26.94</v>
      </c>
      <c r="BA6" s="50">
        <f t="shared" si="4"/>
        <v>0.18</v>
      </c>
      <c r="BB6" s="6">
        <v>11.5</v>
      </c>
      <c r="BC6" s="47">
        <f t="shared" si="5"/>
        <v>0.43</v>
      </c>
      <c r="BD6" s="47"/>
      <c r="BE6" s="4">
        <v>20</v>
      </c>
      <c r="BF6" s="51">
        <v>33.4</v>
      </c>
      <c r="BG6" s="52">
        <v>0.56999999999999995</v>
      </c>
      <c r="BI6" s="33">
        <v>20</v>
      </c>
      <c r="BJ6" s="31"/>
      <c r="BK6" s="31"/>
      <c r="BL6" s="31"/>
      <c r="BM6" s="31"/>
      <c r="BN6" s="31"/>
      <c r="BO6" s="31"/>
      <c r="BP6" s="31"/>
      <c r="BQ6" s="31"/>
    </row>
    <row r="7" spans="12:69" ht="18.75" x14ac:dyDescent="0.25">
      <c r="L7" s="84">
        <v>1.1000000000000001</v>
      </c>
      <c r="M7" s="170">
        <v>17.5</v>
      </c>
      <c r="N7" s="86">
        <v>4100</v>
      </c>
      <c r="O7" s="163">
        <f t="shared" si="6"/>
        <v>10.5</v>
      </c>
      <c r="P7" s="140" t="str">
        <f t="shared" ref="P7:P12" si="12">CONCATENATE(AG7," - ",AH7)</f>
        <v>4118 - 1920</v>
      </c>
      <c r="Q7" s="140">
        <f t="shared" si="7"/>
        <v>0.41</v>
      </c>
      <c r="R7" s="139">
        <f t="shared" si="8"/>
        <v>71.778880558860493</v>
      </c>
      <c r="AG7" s="8">
        <f>ROUND(((AN7*POWER(M7,3))-(AO7*(M7*M7))+(AP7*M7)+AQ7)/0.1725*10,0)</f>
        <v>4118</v>
      </c>
      <c r="AH7" s="8">
        <f t="shared" ref="AH7:AH12" si="13">ROUND(((AN7*POWER(M7,3))-(AO7*(M7*M7))+(AP7*M7)+AQ7)/0.37*10,0)</f>
        <v>1920</v>
      </c>
      <c r="AI7" s="8">
        <f>N18*0.1</f>
        <v>300</v>
      </c>
      <c r="AJ7" s="8">
        <f>AJ3</f>
        <v>60.304000000000002</v>
      </c>
      <c r="AK7" s="104">
        <f t="shared" si="9"/>
        <v>0.39999999999999991</v>
      </c>
      <c r="AL7" s="104">
        <f t="shared" si="10"/>
        <v>0.39999999999999991</v>
      </c>
      <c r="AM7" s="8">
        <v>6</v>
      </c>
      <c r="AN7" s="165">
        <v>1.5699999999999999E-4</v>
      </c>
      <c r="AO7" s="164">
        <v>2.6100000000000002E-2</v>
      </c>
      <c r="AP7" s="164">
        <v>2.1573000000000002</v>
      </c>
      <c r="AQ7" s="164">
        <v>40.441000000000003</v>
      </c>
      <c r="AR7" s="8">
        <v>1.1000000000000001</v>
      </c>
      <c r="AS7" s="8">
        <f t="shared" si="11"/>
        <v>0.17299999999999999</v>
      </c>
      <c r="AU7" s="39"/>
      <c r="AV7" s="6">
        <v>12</v>
      </c>
      <c r="AW7" s="37">
        <f t="shared" si="1"/>
        <v>27.45</v>
      </c>
      <c r="AX7" s="37">
        <f t="shared" si="2"/>
        <v>91.5</v>
      </c>
      <c r="AY7" s="37">
        <f t="shared" si="3"/>
        <v>82.35</v>
      </c>
      <c r="AZ7" s="6">
        <f t="shared" si="0"/>
        <v>27.39</v>
      </c>
      <c r="BA7" s="50">
        <f t="shared" si="4"/>
        <v>0.183</v>
      </c>
      <c r="BB7" s="6">
        <v>12</v>
      </c>
      <c r="BC7" s="47">
        <f t="shared" si="5"/>
        <v>0.44</v>
      </c>
      <c r="BD7" s="47"/>
      <c r="BE7" s="4">
        <v>25</v>
      </c>
      <c r="BF7" s="51">
        <v>36.6</v>
      </c>
      <c r="BG7" s="52">
        <v>0.6</v>
      </c>
      <c r="BI7" s="33">
        <v>30</v>
      </c>
      <c r="BJ7" s="31">
        <v>21.8</v>
      </c>
      <c r="BK7" s="31">
        <v>31.6</v>
      </c>
      <c r="BL7" s="31">
        <v>39.5</v>
      </c>
      <c r="BM7" s="31">
        <v>51.5</v>
      </c>
      <c r="BN7" s="31">
        <f>((($BN$2-$BO$2)/($BM$2-$BO$2))*(BO7-BM7))+BM7</f>
        <v>61.999999999999993</v>
      </c>
      <c r="BO7" s="31">
        <v>69</v>
      </c>
      <c r="BP7" s="31">
        <v>85.5</v>
      </c>
      <c r="BQ7" s="31">
        <v>99</v>
      </c>
    </row>
    <row r="8" spans="12:69" ht="18.75" x14ac:dyDescent="0.25">
      <c r="L8" s="84">
        <v>1.25</v>
      </c>
      <c r="M8" s="170">
        <v>17.5</v>
      </c>
      <c r="N8" s="86">
        <v>3300</v>
      </c>
      <c r="O8" s="163">
        <f t="shared" si="6"/>
        <v>10.5</v>
      </c>
      <c r="P8" s="140" t="str">
        <f t="shared" si="12"/>
        <v>3344 - 1559</v>
      </c>
      <c r="Q8" s="140">
        <f t="shared" si="7"/>
        <v>0.41</v>
      </c>
      <c r="R8" s="139">
        <f t="shared" si="8"/>
        <v>81.566909725977837</v>
      </c>
      <c r="AG8" s="8">
        <f t="shared" ref="AG8:AG12" si="14">ROUND(((AN8*POWER(M8,3))-(AO8*(M8*M8))+(AP8*M8)+AQ8)/0.1725*10,0)</f>
        <v>3344</v>
      </c>
      <c r="AH8" s="8">
        <f t="shared" si="13"/>
        <v>1559</v>
      </c>
      <c r="AI8" s="8">
        <f>AI7</f>
        <v>300</v>
      </c>
      <c r="AJ8" s="8">
        <v>0</v>
      </c>
      <c r="AK8" s="95">
        <f t="shared" si="9"/>
        <v>0.25</v>
      </c>
      <c r="AL8" s="104">
        <f t="shared" si="10"/>
        <v>0.25</v>
      </c>
      <c r="AM8" s="8">
        <v>5</v>
      </c>
      <c r="AN8" s="165">
        <v>1.2999999999999999E-4</v>
      </c>
      <c r="AO8" s="164">
        <v>2.12E-2</v>
      </c>
      <c r="AP8" s="164">
        <v>1.7141</v>
      </c>
      <c r="AQ8" s="164">
        <v>33.487000000000002</v>
      </c>
      <c r="AR8" s="8">
        <v>1.25</v>
      </c>
      <c r="AS8" s="94">
        <f t="shared" si="11"/>
        <v>0.17499999999999999</v>
      </c>
      <c r="AU8" s="39"/>
      <c r="AV8" s="44">
        <v>12.5</v>
      </c>
      <c r="AW8" s="37">
        <f t="shared" si="1"/>
        <v>27.9</v>
      </c>
      <c r="AX8" s="37">
        <f t="shared" si="2"/>
        <v>93</v>
      </c>
      <c r="AY8" s="43">
        <f t="shared" si="3"/>
        <v>83.7</v>
      </c>
      <c r="AZ8" s="6">
        <f t="shared" si="0"/>
        <v>27.83</v>
      </c>
      <c r="BA8" s="50">
        <f t="shared" si="4"/>
        <v>0.186</v>
      </c>
      <c r="BB8" s="44">
        <v>12.5</v>
      </c>
      <c r="BC8" s="47">
        <f t="shared" si="5"/>
        <v>0.45</v>
      </c>
      <c r="BD8" s="47"/>
      <c r="BE8" s="4">
        <v>30</v>
      </c>
      <c r="BF8" s="51">
        <v>39.1</v>
      </c>
      <c r="BG8" s="52">
        <v>0.61</v>
      </c>
      <c r="BI8" s="33">
        <v>40</v>
      </c>
      <c r="BJ8" s="31">
        <v>24</v>
      </c>
      <c r="BK8" s="31">
        <v>34.5</v>
      </c>
      <c r="BL8" s="31">
        <v>43</v>
      </c>
      <c r="BM8" s="31">
        <v>56.5</v>
      </c>
      <c r="BN8" s="31">
        <f>((($BN$2-$BO$2)/($BM$2-$BO$2))*(BO8-BM8))+BM8</f>
        <v>68.5</v>
      </c>
      <c r="BO8" s="31">
        <v>76.5</v>
      </c>
      <c r="BP8" s="31">
        <v>93.7</v>
      </c>
      <c r="BQ8" s="31">
        <v>109</v>
      </c>
    </row>
    <row r="9" spans="12:69" ht="18.75" x14ac:dyDescent="0.25">
      <c r="L9" s="84">
        <v>1.5</v>
      </c>
      <c r="M9" s="170">
        <v>40</v>
      </c>
      <c r="N9" s="86">
        <v>3000</v>
      </c>
      <c r="O9" s="163">
        <f t="shared" si="6"/>
        <v>13</v>
      </c>
      <c r="P9" s="140" t="str">
        <f t="shared" si="12"/>
        <v>3286 - 1532</v>
      </c>
      <c r="Q9" s="140">
        <f t="shared" si="7"/>
        <v>0.46</v>
      </c>
      <c r="R9" s="139">
        <f t="shared" si="8"/>
        <v>109.81691260668237</v>
      </c>
      <c r="AG9" s="8">
        <f t="shared" si="14"/>
        <v>3286</v>
      </c>
      <c r="AH9" s="8">
        <f t="shared" si="13"/>
        <v>1532</v>
      </c>
      <c r="AK9" s="95">
        <f t="shared" si="9"/>
        <v>0</v>
      </c>
      <c r="AL9" s="104">
        <f t="shared" si="10"/>
        <v>0</v>
      </c>
      <c r="AM9" s="8">
        <v>4</v>
      </c>
      <c r="AN9" s="165">
        <v>1.12E-4</v>
      </c>
      <c r="AO9" s="164">
        <v>2.01E-2</v>
      </c>
      <c r="AP9" s="164">
        <v>1.4875</v>
      </c>
      <c r="AQ9" s="164">
        <v>22.178999999999998</v>
      </c>
      <c r="AR9" s="8">
        <v>1.5</v>
      </c>
      <c r="AS9" s="8">
        <f t="shared" si="11"/>
        <v>0.189</v>
      </c>
      <c r="AU9" s="39"/>
      <c r="AV9" s="6">
        <v>13</v>
      </c>
      <c r="AW9" s="37">
        <f t="shared" si="1"/>
        <v>28.2</v>
      </c>
      <c r="AX9" s="37">
        <f t="shared" si="2"/>
        <v>94</v>
      </c>
      <c r="AY9" s="37">
        <f t="shared" si="3"/>
        <v>84.6</v>
      </c>
      <c r="AZ9" s="6">
        <f t="shared" si="0"/>
        <v>28.27</v>
      </c>
      <c r="BA9" s="50">
        <f t="shared" si="4"/>
        <v>0.188</v>
      </c>
      <c r="BB9" s="6">
        <v>13</v>
      </c>
      <c r="BC9" s="47">
        <f t="shared" si="5"/>
        <v>0.46</v>
      </c>
      <c r="BD9" s="47"/>
      <c r="BE9" s="4">
        <v>40</v>
      </c>
      <c r="BF9" s="51">
        <v>42.73</v>
      </c>
      <c r="BG9" s="52">
        <v>0.63</v>
      </c>
      <c r="BI9" s="33">
        <v>50</v>
      </c>
      <c r="BJ9" s="31">
        <v>25.5</v>
      </c>
      <c r="BK9" s="31">
        <v>37</v>
      </c>
      <c r="BL9" s="31">
        <v>47.2</v>
      </c>
      <c r="BM9" s="31">
        <v>60.5</v>
      </c>
      <c r="BN9" s="31">
        <f>((($BN$2-$BO$2)/($BM$2-$BO$2))*(BO9-BM9))+BM9</f>
        <v>73.699999999999989</v>
      </c>
      <c r="BO9" s="31">
        <v>82.5</v>
      </c>
      <c r="BP9" s="31">
        <v>104</v>
      </c>
      <c r="BQ9" s="31">
        <v>116</v>
      </c>
    </row>
    <row r="10" spans="12:69" ht="18.75" x14ac:dyDescent="0.25">
      <c r="L10" s="84">
        <v>1.75</v>
      </c>
      <c r="M10" s="170">
        <v>50</v>
      </c>
      <c r="N10" s="86">
        <v>2600</v>
      </c>
      <c r="O10" s="163">
        <f t="shared" si="6"/>
        <v>11.5</v>
      </c>
      <c r="P10" s="140" t="str">
        <f t="shared" si="12"/>
        <v>2730 - 1273</v>
      </c>
      <c r="Q10" s="140">
        <f t="shared" si="7"/>
        <v>0.43</v>
      </c>
      <c r="R10" s="139">
        <f t="shared" si="8"/>
        <v>119.76409671960648</v>
      </c>
      <c r="AG10" s="8">
        <f t="shared" si="14"/>
        <v>2730</v>
      </c>
      <c r="AH10" s="8">
        <f t="shared" si="13"/>
        <v>1273</v>
      </c>
      <c r="AK10" s="95">
        <f t="shared" si="9"/>
        <v>0.25</v>
      </c>
      <c r="AL10" s="104">
        <f t="shared" si="10"/>
        <v>-0.25</v>
      </c>
      <c r="AM10" s="8">
        <v>3</v>
      </c>
      <c r="AN10" s="165">
        <v>6.9999999999999994E-5</v>
      </c>
      <c r="AO10" s="164">
        <v>1.26E-2</v>
      </c>
      <c r="AP10" s="164">
        <v>1.0365</v>
      </c>
      <c r="AQ10" s="164">
        <v>18.015000000000001</v>
      </c>
      <c r="AR10" s="8">
        <v>1.75</v>
      </c>
      <c r="AS10" s="8">
        <f t="shared" si="11"/>
        <v>0.18099999999999999</v>
      </c>
      <c r="AU10" s="39"/>
      <c r="AV10" s="6">
        <v>13.5</v>
      </c>
      <c r="AW10" s="37">
        <f t="shared" si="1"/>
        <v>28.650000000000002</v>
      </c>
      <c r="AX10" s="37">
        <f t="shared" si="2"/>
        <v>95.5</v>
      </c>
      <c r="AY10" s="37">
        <f t="shared" si="3"/>
        <v>85.95</v>
      </c>
      <c r="AZ10" s="6">
        <f t="shared" si="0"/>
        <v>28.7</v>
      </c>
      <c r="BA10" s="50">
        <f t="shared" si="4"/>
        <v>0.191</v>
      </c>
      <c r="BB10" s="6">
        <v>13.5</v>
      </c>
      <c r="BC10" s="47">
        <f t="shared" si="5"/>
        <v>0.47</v>
      </c>
      <c r="BD10" s="47"/>
      <c r="BE10" s="4">
        <v>50</v>
      </c>
      <c r="BF10" s="51">
        <v>46</v>
      </c>
      <c r="BG10" s="52">
        <v>0.65</v>
      </c>
      <c r="BI10" s="33">
        <v>60</v>
      </c>
      <c r="BJ10" s="31">
        <v>26.5</v>
      </c>
      <c r="BK10" s="31">
        <v>38.5</v>
      </c>
      <c r="BL10" s="31">
        <v>49</v>
      </c>
      <c r="BM10" s="31">
        <v>63</v>
      </c>
      <c r="BN10" s="31">
        <f>((($BN$2-$BO$2)/($BM$2-$BO$2))*(BO10-BM10))+BM10</f>
        <v>77.999999999999986</v>
      </c>
      <c r="BO10" s="31">
        <v>88</v>
      </c>
      <c r="BP10" s="31">
        <v>109</v>
      </c>
      <c r="BQ10" s="31">
        <v>122</v>
      </c>
    </row>
    <row r="11" spans="12:69" ht="18.75" x14ac:dyDescent="0.25">
      <c r="L11" s="84">
        <v>2</v>
      </c>
      <c r="M11" s="170">
        <v>17.5</v>
      </c>
      <c r="N11" s="86">
        <v>1500</v>
      </c>
      <c r="O11" s="163">
        <f t="shared" si="6"/>
        <v>10.5</v>
      </c>
      <c r="P11" s="140" t="str">
        <f t="shared" si="12"/>
        <v>1504 - 701</v>
      </c>
      <c r="Q11" s="140">
        <f t="shared" si="7"/>
        <v>0.41</v>
      </c>
      <c r="R11" s="139">
        <f t="shared" si="8"/>
        <v>130.50705556156453</v>
      </c>
      <c r="AG11" s="8">
        <f t="shared" si="14"/>
        <v>1504</v>
      </c>
      <c r="AH11" s="8">
        <f t="shared" si="13"/>
        <v>701</v>
      </c>
      <c r="AK11" s="95">
        <f t="shared" si="9"/>
        <v>0.5</v>
      </c>
      <c r="AL11" s="104">
        <f t="shared" si="10"/>
        <v>-0.5</v>
      </c>
      <c r="AM11" s="8">
        <v>2</v>
      </c>
      <c r="AN11" s="165">
        <v>6.3E-5</v>
      </c>
      <c r="AO11" s="164">
        <v>1.17E-2</v>
      </c>
      <c r="AP11" s="164">
        <v>0.89939999999999998</v>
      </c>
      <c r="AQ11" s="164">
        <v>13.444000000000001</v>
      </c>
      <c r="AR11" s="8">
        <v>2</v>
      </c>
      <c r="AS11" s="8">
        <f t="shared" si="11"/>
        <v>0.17299999999999999</v>
      </c>
      <c r="AU11" s="39"/>
      <c r="AV11" s="6">
        <v>14</v>
      </c>
      <c r="AW11" s="37">
        <f t="shared" si="1"/>
        <v>29.1</v>
      </c>
      <c r="AX11" s="37">
        <f t="shared" si="2"/>
        <v>97</v>
      </c>
      <c r="AY11" s="37">
        <f t="shared" si="3"/>
        <v>87.3</v>
      </c>
      <c r="AZ11" s="6">
        <f t="shared" si="0"/>
        <v>29.12</v>
      </c>
      <c r="BA11" s="50">
        <f t="shared" si="4"/>
        <v>0.19400000000000001</v>
      </c>
      <c r="BB11" s="6">
        <v>14</v>
      </c>
      <c r="BC11" s="47">
        <f t="shared" si="5"/>
        <v>0.47</v>
      </c>
      <c r="BD11" s="47"/>
      <c r="BE11" s="4">
        <v>60</v>
      </c>
      <c r="BF11" s="51">
        <v>50.2</v>
      </c>
      <c r="BG11" s="52">
        <v>0.68</v>
      </c>
    </row>
    <row r="12" spans="12:69" ht="18.75" x14ac:dyDescent="0.25">
      <c r="L12" s="84">
        <v>2.5</v>
      </c>
      <c r="M12" s="170">
        <v>17.5</v>
      </c>
      <c r="N12" s="86">
        <v>1000</v>
      </c>
      <c r="O12" s="163">
        <f>IF(ROUND(((AN12*POWER(M12,3))-(AO12*(M12*M12))+(AP12*M12)+AQ12)/(N12*0.1),3)&gt;0.17,VLOOKUP(ROUND(((AN12*POWER(M12,3))-(AO12*(M12*M12))+(AP12*M12)+AQ12)/(N12*0.1),3),$BA$3:$BB$123,2,1),10)</f>
        <v>11</v>
      </c>
      <c r="P12" s="140" t="str">
        <f t="shared" si="12"/>
        <v>1030 - 480</v>
      </c>
      <c r="Q12" s="140">
        <f t="shared" si="7"/>
        <v>0.42</v>
      </c>
      <c r="R12" s="139">
        <f t="shared" si="8"/>
        <v>167.11269309712532</v>
      </c>
      <c r="AG12" s="8">
        <f t="shared" si="14"/>
        <v>1030</v>
      </c>
      <c r="AH12" s="8">
        <f t="shared" si="13"/>
        <v>480</v>
      </c>
      <c r="AK12" s="95">
        <f t="shared" si="9"/>
        <v>1</v>
      </c>
      <c r="AL12" s="104">
        <f t="shared" si="10"/>
        <v>-1</v>
      </c>
      <c r="AM12" s="8">
        <v>1</v>
      </c>
      <c r="AN12" s="165">
        <v>3.3000000000000003E-5</v>
      </c>
      <c r="AO12" s="164">
        <v>7.4999999999999997E-3</v>
      </c>
      <c r="AP12" s="164">
        <v>0.62170000000000003</v>
      </c>
      <c r="AQ12" s="164">
        <v>9</v>
      </c>
      <c r="AR12" s="8">
        <v>2.5</v>
      </c>
      <c r="AS12" s="8">
        <f t="shared" si="11"/>
        <v>0.17799999999999999</v>
      </c>
      <c r="AU12" s="39"/>
      <c r="AV12" s="6">
        <v>14.5</v>
      </c>
      <c r="AW12" s="37">
        <f t="shared" si="1"/>
        <v>29.55</v>
      </c>
      <c r="AX12" s="37">
        <f t="shared" si="2"/>
        <v>98.5</v>
      </c>
      <c r="AY12" s="37">
        <f t="shared" si="3"/>
        <v>88.65</v>
      </c>
      <c r="AZ12" s="6">
        <f t="shared" si="0"/>
        <v>29.53</v>
      </c>
      <c r="BA12" s="50">
        <f t="shared" si="4"/>
        <v>0.19700000000000001</v>
      </c>
      <c r="BB12" s="6">
        <v>14.5</v>
      </c>
      <c r="BC12" s="47">
        <f t="shared" si="5"/>
        <v>0.48</v>
      </c>
      <c r="BD12" s="47"/>
      <c r="BE12" s="4">
        <v>70</v>
      </c>
      <c r="BF12" s="51">
        <v>55.6</v>
      </c>
      <c r="BG12" s="52">
        <v>0.77</v>
      </c>
    </row>
    <row r="13" spans="12:69" x14ac:dyDescent="0.25">
      <c r="L13" s="188"/>
      <c r="M13" s="190"/>
      <c r="N13" s="190"/>
      <c r="O13" s="190"/>
      <c r="P13" s="190"/>
      <c r="Q13" s="190"/>
      <c r="R13" s="190"/>
      <c r="AU13" s="39"/>
      <c r="AV13" s="6">
        <v>15</v>
      </c>
      <c r="AW13" s="37">
        <f t="shared" si="1"/>
        <v>30</v>
      </c>
      <c r="AX13" s="37">
        <f t="shared" si="2"/>
        <v>100</v>
      </c>
      <c r="AY13" s="37">
        <f t="shared" si="3"/>
        <v>90</v>
      </c>
      <c r="AZ13" s="6">
        <f t="shared" si="0"/>
        <v>29.93</v>
      </c>
      <c r="BA13" s="50">
        <f t="shared" si="4"/>
        <v>0.2</v>
      </c>
      <c r="BB13" s="6">
        <v>15</v>
      </c>
      <c r="BC13" s="47">
        <f t="shared" si="5"/>
        <v>0.49</v>
      </c>
      <c r="BD13" s="47"/>
    </row>
    <row r="14" spans="12:69" ht="15.75" thickBot="1" x14ac:dyDescent="0.3">
      <c r="L14" s="189"/>
      <c r="M14" s="191"/>
      <c r="N14" s="191"/>
      <c r="O14" s="191"/>
      <c r="P14" s="191"/>
      <c r="Q14" s="191"/>
      <c r="R14" s="191"/>
      <c r="AU14" s="39"/>
      <c r="AV14" s="6">
        <v>15.5</v>
      </c>
      <c r="AW14" s="37">
        <f t="shared" si="1"/>
        <v>30.3</v>
      </c>
      <c r="AX14" s="37">
        <f t="shared" si="2"/>
        <v>101</v>
      </c>
      <c r="AY14" s="37">
        <f t="shared" si="3"/>
        <v>90.9</v>
      </c>
      <c r="AZ14" s="6">
        <f t="shared" si="0"/>
        <v>30.32</v>
      </c>
      <c r="BA14" s="50">
        <f t="shared" si="4"/>
        <v>0.20200000000000001</v>
      </c>
      <c r="BB14" s="6">
        <v>15.5</v>
      </c>
      <c r="BC14" s="47">
        <f t="shared" si="5"/>
        <v>0.5</v>
      </c>
      <c r="BD14" s="47"/>
    </row>
    <row r="15" spans="12:69" ht="15" customHeight="1" x14ac:dyDescent="0.25">
      <c r="L15" s="182" t="s">
        <v>60</v>
      </c>
      <c r="M15" s="183"/>
      <c r="N15" s="183"/>
      <c r="O15" s="183"/>
      <c r="P15" s="183"/>
      <c r="Q15" s="183"/>
      <c r="R15" s="184"/>
      <c r="T15" s="147" t="s">
        <v>1</v>
      </c>
      <c r="U15" s="148" t="s">
        <v>61</v>
      </c>
      <c r="V15" s="148" t="s">
        <v>5</v>
      </c>
      <c r="AK15" s="95" t="s">
        <v>55</v>
      </c>
      <c r="AL15" s="95"/>
      <c r="AM15" s="95"/>
      <c r="AU15" s="39"/>
      <c r="AV15" s="6">
        <v>16</v>
      </c>
      <c r="AW15" s="37">
        <f t="shared" si="1"/>
        <v>30.749999999999996</v>
      </c>
      <c r="AX15" s="37">
        <f t="shared" si="2"/>
        <v>102.5</v>
      </c>
      <c r="AY15" s="37">
        <f t="shared" si="3"/>
        <v>92.25</v>
      </c>
      <c r="AZ15" s="6">
        <f t="shared" si="0"/>
        <v>30.71</v>
      </c>
      <c r="BA15" s="50">
        <f t="shared" si="4"/>
        <v>0.20499999999999999</v>
      </c>
      <c r="BB15" s="6">
        <v>16</v>
      </c>
      <c r="BC15" s="47">
        <f t="shared" si="5"/>
        <v>0.5</v>
      </c>
      <c r="BD15" s="47"/>
    </row>
    <row r="16" spans="12:69" ht="15" customHeight="1" x14ac:dyDescent="0.25">
      <c r="L16" s="141" t="s">
        <v>14</v>
      </c>
      <c r="M16" s="159" t="s">
        <v>14</v>
      </c>
      <c r="N16" s="159" t="s">
        <v>14</v>
      </c>
      <c r="O16" s="136" t="s">
        <v>15</v>
      </c>
      <c r="P16" s="136" t="s">
        <v>15</v>
      </c>
      <c r="Q16" s="136" t="s">
        <v>15</v>
      </c>
      <c r="R16" s="145" t="s">
        <v>15</v>
      </c>
      <c r="T16" s="239">
        <v>0.14699999999999999</v>
      </c>
      <c r="U16" s="135">
        <f t="shared" ref="U16" si="15">$L$18*1000/2*T16</f>
        <v>110.25</v>
      </c>
      <c r="V16" s="166">
        <f t="shared" ref="V16" si="16">DEGREES(ATAN($R$18/U16))</f>
        <v>46.696193180653346</v>
      </c>
      <c r="AK16" s="100">
        <f>(L18-VLOOKUP(AM2,AM6:AR12,6,0))/(VLOOKUP(AN2,AM6:AR12,6,0)-VLOOKUP(AM2,AM6:AR12,6,0))</f>
        <v>0</v>
      </c>
      <c r="AL16" s="100"/>
      <c r="AM16" s="95"/>
      <c r="AU16" s="39"/>
      <c r="AV16" s="48">
        <v>16.5</v>
      </c>
      <c r="AW16" s="49">
        <f t="shared" si="1"/>
        <v>31.049999999999997</v>
      </c>
      <c r="AX16" s="49">
        <f t="shared" si="2"/>
        <v>103.5</v>
      </c>
      <c r="AY16" s="49">
        <f t="shared" si="3"/>
        <v>93.149999999999991</v>
      </c>
      <c r="AZ16" s="48">
        <f t="shared" si="0"/>
        <v>31.09</v>
      </c>
      <c r="BA16" s="50">
        <f t="shared" si="4"/>
        <v>0.20699999999999999</v>
      </c>
      <c r="BB16" s="48">
        <v>16.5</v>
      </c>
      <c r="BC16" s="47">
        <f t="shared" si="5"/>
        <v>0.51</v>
      </c>
      <c r="BD16" s="47"/>
    </row>
    <row r="17" spans="11:130" ht="18.75" x14ac:dyDescent="0.25">
      <c r="L17" s="142" t="s">
        <v>11</v>
      </c>
      <c r="M17" s="88" t="s">
        <v>43</v>
      </c>
      <c r="N17" s="89" t="s">
        <v>18</v>
      </c>
      <c r="O17" s="137" t="s">
        <v>64</v>
      </c>
      <c r="P17" s="138" t="s">
        <v>18</v>
      </c>
      <c r="Q17" s="138" t="s">
        <v>39</v>
      </c>
      <c r="R17" s="146" t="s">
        <v>38</v>
      </c>
      <c r="T17" s="162">
        <v>0.3</v>
      </c>
      <c r="U17" s="135">
        <f t="shared" ref="U17:U22" si="17">$L$18*1000/2*T17</f>
        <v>225</v>
      </c>
      <c r="V17" s="166">
        <f t="shared" ref="V17:V22" si="18">DEGREES(ATAN($R$18/U17))</f>
        <v>27.4701990583034</v>
      </c>
      <c r="AK17" s="103" t="s">
        <v>4</v>
      </c>
      <c r="AL17" s="103"/>
      <c r="AM17" s="103" t="s">
        <v>32</v>
      </c>
      <c r="AU17" s="39"/>
      <c r="AV17" s="6">
        <v>17</v>
      </c>
      <c r="AW17" s="37">
        <f t="shared" si="1"/>
        <v>31.5</v>
      </c>
      <c r="AX17" s="37">
        <f t="shared" si="2"/>
        <v>105</v>
      </c>
      <c r="AY17" s="37">
        <f t="shared" si="3"/>
        <v>94.5</v>
      </c>
      <c r="AZ17" s="6">
        <f t="shared" si="0"/>
        <v>31.46</v>
      </c>
      <c r="BA17" s="50">
        <f t="shared" si="4"/>
        <v>0.21</v>
      </c>
      <c r="BB17" s="6">
        <v>17</v>
      </c>
      <c r="BC17" s="47">
        <f t="shared" si="5"/>
        <v>0.52</v>
      </c>
      <c r="BD17" s="47"/>
    </row>
    <row r="18" spans="11:130" ht="18.75" x14ac:dyDescent="0.25">
      <c r="L18" s="143">
        <v>1.5</v>
      </c>
      <c r="M18" s="171">
        <v>50</v>
      </c>
      <c r="N18" s="129">
        <v>3000</v>
      </c>
      <c r="O18" s="130">
        <f>IF((AK18-(AK18-AM18)*AK16)/(N18*0.1)&gt;0.17,VLOOKUP(ROUND((AK18-(AK18-AM18)*AK16)/(N18*0.1),3),BA3:BB123,2,1),10)</f>
        <v>15</v>
      </c>
      <c r="P18" s="131" t="str">
        <f>CONCATENATE(AG18," - ",AH18)</f>
        <v>3496 - 1630</v>
      </c>
      <c r="Q18" s="132">
        <f>VLOOKUP(O18,$BB$3:$BC$123,2,0)</f>
        <v>0.49</v>
      </c>
      <c r="R18" s="144">
        <f>(Q18*L18*1000)/(3.1415926*2)</f>
        <v>116.97888516798773</v>
      </c>
      <c r="T18" s="162">
        <v>0.45</v>
      </c>
      <c r="U18" s="135">
        <f t="shared" si="17"/>
        <v>337.5</v>
      </c>
      <c r="V18" s="166">
        <f t="shared" si="18"/>
        <v>19.116526271257957</v>
      </c>
      <c r="AG18" s="8">
        <f>ROUND(10*(AK18-(AK18-AM18)*AK16)/0.1725,0)</f>
        <v>3496</v>
      </c>
      <c r="AH18" s="8">
        <f>ROUND(10*(AK18-(AK18-AM18)*AK16)/0.37,0)</f>
        <v>1630</v>
      </c>
      <c r="AK18" s="117">
        <f>ROUND(((VLOOKUP(AM2,AM6:AQ12,2,0)*POWER(M18,3))-(VLOOKUP(AM2,AM6:AQ12,3,0)*(M18*M18))+(VLOOKUP(AM2,AM6:AQ12,4,0)*M18)+VLOOKUP(AM2,AM6:AQ12,5,0)),3)</f>
        <v>60.304000000000002</v>
      </c>
      <c r="AL18" s="113"/>
      <c r="AM18" s="117">
        <f>ROUND(((VLOOKUP(AN2,AM6:AQ12,2,0)*POWER(M18,3))-(VLOOKUP(AN2,AM6:AQ12,3,0)*(M18*M18))+(VLOOKUP(AN2,AM6:AQ12,4,0)*M18)+VLOOKUP(AN2,AM6:AQ12,5,0)),3)</f>
        <v>47.09</v>
      </c>
      <c r="AU18" s="39"/>
      <c r="AV18" s="6">
        <v>17.5</v>
      </c>
      <c r="AW18" s="37">
        <f t="shared" si="1"/>
        <v>31.8</v>
      </c>
      <c r="AX18" s="37">
        <f t="shared" si="2"/>
        <v>106</v>
      </c>
      <c r="AY18" s="37">
        <f t="shared" si="3"/>
        <v>95.399999999999991</v>
      </c>
      <c r="AZ18" s="6">
        <f t="shared" si="0"/>
        <v>31.83</v>
      </c>
      <c r="BA18" s="50">
        <f t="shared" si="4"/>
        <v>0.21199999999999999</v>
      </c>
      <c r="BB18" s="6">
        <v>17.5</v>
      </c>
      <c r="BC18" s="47">
        <f t="shared" si="5"/>
        <v>0.52</v>
      </c>
      <c r="BD18" s="47"/>
    </row>
    <row r="19" spans="11:130" ht="16.5" thickBot="1" x14ac:dyDescent="0.3">
      <c r="K19" s="118"/>
      <c r="L19" s="185" t="s">
        <v>62</v>
      </c>
      <c r="M19" s="186"/>
      <c r="N19" s="186"/>
      <c r="O19" s="186"/>
      <c r="P19" s="186"/>
      <c r="Q19" s="186"/>
      <c r="R19" s="187"/>
      <c r="T19" s="162">
        <v>0.6</v>
      </c>
      <c r="U19" s="135">
        <f t="shared" si="17"/>
        <v>450</v>
      </c>
      <c r="V19" s="166">
        <f t="shared" si="18"/>
        <v>14.571697975268386</v>
      </c>
      <c r="AU19" s="39"/>
      <c r="AV19" s="6">
        <v>18</v>
      </c>
      <c r="AW19" s="37">
        <f t="shared" si="1"/>
        <v>32.25</v>
      </c>
      <c r="AX19" s="37">
        <f t="shared" si="2"/>
        <v>107.5</v>
      </c>
      <c r="AY19" s="37">
        <f t="shared" si="3"/>
        <v>96.75</v>
      </c>
      <c r="AZ19" s="6">
        <f t="shared" si="0"/>
        <v>32.18</v>
      </c>
      <c r="BA19" s="50">
        <f t="shared" si="4"/>
        <v>0.215</v>
      </c>
      <c r="BB19" s="6">
        <v>18</v>
      </c>
      <c r="BC19" s="47">
        <f t="shared" si="5"/>
        <v>0.53</v>
      </c>
      <c r="BD19" s="47"/>
    </row>
    <row r="20" spans="11:130" ht="21" customHeight="1" x14ac:dyDescent="0.25">
      <c r="K20" s="118"/>
      <c r="T20" s="162">
        <v>0.75</v>
      </c>
      <c r="U20" s="135">
        <f t="shared" si="17"/>
        <v>562.5</v>
      </c>
      <c r="V20" s="166">
        <f t="shared" si="18"/>
        <v>11.747922008046672</v>
      </c>
      <c r="AU20" s="39"/>
      <c r="AV20" s="6">
        <v>18.5</v>
      </c>
      <c r="AW20" s="37">
        <f t="shared" si="1"/>
        <v>32.549999999999997</v>
      </c>
      <c r="AX20" s="37">
        <f t="shared" si="2"/>
        <v>108.5</v>
      </c>
      <c r="AY20" s="37">
        <f>AY$1*$BA20</f>
        <v>97.65</v>
      </c>
      <c r="AZ20" s="6">
        <f t="shared" si="0"/>
        <v>32.53</v>
      </c>
      <c r="BA20" s="50">
        <f t="shared" si="4"/>
        <v>0.217</v>
      </c>
      <c r="BB20" s="6">
        <v>18.5</v>
      </c>
      <c r="BC20" s="47">
        <f t="shared" si="5"/>
        <v>0.54</v>
      </c>
      <c r="BD20" s="47"/>
      <c r="BE20" s="40"/>
      <c r="BF20" s="4"/>
      <c r="BG20" s="4"/>
      <c r="BH20" s="2"/>
      <c r="BI20" s="2"/>
      <c r="BJ20" s="2"/>
      <c r="BK20" s="31"/>
      <c r="BL20" s="31"/>
      <c r="BM20" s="31"/>
      <c r="BN20" s="31"/>
      <c r="BO20" s="2"/>
      <c r="BP20" s="2"/>
      <c r="BQ20" s="2"/>
      <c r="BR20" s="31"/>
      <c r="BS20" s="2"/>
      <c r="BT20" s="2"/>
      <c r="BU20" s="2"/>
      <c r="BV20" s="31"/>
      <c r="BW20" s="31"/>
      <c r="BX20" s="31"/>
      <c r="BY20" s="2"/>
      <c r="BZ20" s="2"/>
      <c r="CA20" s="2"/>
      <c r="CB20" s="31"/>
      <c r="CC20" s="31"/>
      <c r="CD20" s="31"/>
      <c r="CE20" s="2"/>
      <c r="CF20" s="2"/>
      <c r="CG20" s="2"/>
      <c r="CH20" s="31"/>
      <c r="CI20" s="31"/>
      <c r="CJ20" s="31"/>
      <c r="CK20" s="2"/>
      <c r="CL20" s="2"/>
      <c r="CM20" s="2"/>
      <c r="CN20" s="31"/>
      <c r="CO20" s="2"/>
      <c r="CP20" s="2"/>
      <c r="CQ20" s="2"/>
      <c r="CR20" s="31"/>
      <c r="CS20" s="31"/>
      <c r="CT20" s="31"/>
      <c r="CU20" s="2"/>
      <c r="CV20" s="31"/>
      <c r="CW20" s="2"/>
      <c r="CX20" s="2"/>
      <c r="CY20" s="2"/>
      <c r="CZ20" s="31"/>
      <c r="DA20" s="31"/>
      <c r="DB20" s="31"/>
      <c r="DC20" s="2"/>
      <c r="DD20" s="2"/>
      <c r="DE20" s="2"/>
      <c r="DF20" s="31"/>
      <c r="DG20" s="31"/>
      <c r="DH20" s="31"/>
      <c r="DI20" s="2"/>
      <c r="DJ20" s="2"/>
      <c r="DK20" s="2"/>
      <c r="DL20" s="31"/>
      <c r="DM20" s="31"/>
      <c r="DN20" s="31"/>
      <c r="DO20" s="2"/>
      <c r="DP20" s="2"/>
      <c r="DQ20" s="2"/>
      <c r="DR20" s="31"/>
      <c r="DS20" s="31"/>
      <c r="DT20" s="31"/>
      <c r="DU20" s="2"/>
      <c r="DV20" s="2"/>
      <c r="DW20" s="2"/>
      <c r="DX20" s="31"/>
      <c r="DY20" s="31"/>
      <c r="DZ20" s="31"/>
    </row>
    <row r="21" spans="11:130" ht="15.75" x14ac:dyDescent="0.25">
      <c r="M21" s="12"/>
      <c r="N21" s="12"/>
      <c r="O21" s="12"/>
      <c r="P21" s="12"/>
      <c r="T21" s="162">
        <v>0.9</v>
      </c>
      <c r="U21" s="135">
        <f t="shared" si="17"/>
        <v>675</v>
      </c>
      <c r="V21" s="166">
        <f t="shared" si="18"/>
        <v>9.8318239499289177</v>
      </c>
      <c r="AU21" s="39"/>
      <c r="AV21" s="6">
        <v>19</v>
      </c>
      <c r="AW21" s="37">
        <f t="shared" si="1"/>
        <v>32.85</v>
      </c>
      <c r="AX21" s="37">
        <f t="shared" si="2"/>
        <v>109.5</v>
      </c>
      <c r="AY21" s="37">
        <f t="shared" si="3"/>
        <v>98.55</v>
      </c>
      <c r="AZ21" s="6">
        <f t="shared" si="0"/>
        <v>32.880000000000003</v>
      </c>
      <c r="BA21" s="50">
        <f t="shared" si="4"/>
        <v>0.219</v>
      </c>
      <c r="BB21" s="6">
        <v>19</v>
      </c>
      <c r="BC21" s="47">
        <f t="shared" si="5"/>
        <v>0.54</v>
      </c>
      <c r="BD21" s="47"/>
    </row>
    <row r="22" spans="11:130" ht="15.75" x14ac:dyDescent="0.25">
      <c r="L22" s="3"/>
      <c r="M22" s="12"/>
      <c r="N22" s="12"/>
      <c r="O22" s="12"/>
      <c r="P22" s="12"/>
      <c r="Q22" s="12"/>
      <c r="R22" s="12"/>
      <c r="T22" s="162">
        <v>1</v>
      </c>
      <c r="U22" s="135">
        <f t="shared" si="17"/>
        <v>750</v>
      </c>
      <c r="V22" s="166">
        <f t="shared" si="18"/>
        <v>8.8651013057170651</v>
      </c>
      <c r="AU22" s="39"/>
      <c r="AV22" s="6">
        <v>19.5</v>
      </c>
      <c r="AW22" s="37">
        <f t="shared" si="1"/>
        <v>33.15</v>
      </c>
      <c r="AX22" s="37">
        <f t="shared" si="2"/>
        <v>110.5</v>
      </c>
      <c r="AY22" s="37">
        <f t="shared" si="3"/>
        <v>99.45</v>
      </c>
      <c r="AZ22" s="6">
        <f t="shared" si="0"/>
        <v>33.21</v>
      </c>
      <c r="BA22" s="50">
        <f t="shared" si="4"/>
        <v>0.221</v>
      </c>
      <c r="BB22" s="6">
        <v>19.5</v>
      </c>
      <c r="BC22" s="47">
        <f t="shared" si="5"/>
        <v>0.55000000000000004</v>
      </c>
      <c r="BD22" s="47"/>
    </row>
    <row r="23" spans="11:130" s="3" customFormat="1" x14ac:dyDescent="0.25">
      <c r="M23" s="12"/>
      <c r="N23" s="12"/>
      <c r="O23" s="12"/>
      <c r="P23" s="12"/>
      <c r="Q23" s="12"/>
      <c r="R23" s="12"/>
      <c r="S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39"/>
      <c r="AV23" s="6">
        <v>20</v>
      </c>
      <c r="AW23" s="37">
        <f t="shared" si="1"/>
        <v>33.6</v>
      </c>
      <c r="AX23" s="37">
        <f t="shared" si="2"/>
        <v>112</v>
      </c>
      <c r="AY23" s="37">
        <f t="shared" si="3"/>
        <v>100.8</v>
      </c>
      <c r="AZ23" s="6">
        <f t="shared" si="0"/>
        <v>33.54</v>
      </c>
      <c r="BA23" s="50">
        <f t="shared" si="4"/>
        <v>0.224</v>
      </c>
      <c r="BB23" s="6">
        <v>20</v>
      </c>
      <c r="BC23" s="47">
        <f t="shared" si="5"/>
        <v>0.55000000000000004</v>
      </c>
      <c r="BD23" s="47"/>
      <c r="BE23" s="5"/>
      <c r="BF23" s="5"/>
      <c r="BG23" s="5"/>
    </row>
    <row r="24" spans="11:130" s="3" customFormat="1" x14ac:dyDescent="0.25"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39"/>
      <c r="AV24" s="6">
        <v>20.5</v>
      </c>
      <c r="AW24" s="37">
        <f t="shared" si="1"/>
        <v>33.9</v>
      </c>
      <c r="AX24" s="37">
        <f t="shared" si="2"/>
        <v>113</v>
      </c>
      <c r="AY24" s="37">
        <f t="shared" si="3"/>
        <v>101.7</v>
      </c>
      <c r="AZ24" s="6">
        <f t="shared" si="0"/>
        <v>33.86</v>
      </c>
      <c r="BA24" s="50">
        <f t="shared" si="4"/>
        <v>0.22600000000000001</v>
      </c>
      <c r="BB24" s="6">
        <v>20.5</v>
      </c>
      <c r="BC24" s="47">
        <f t="shared" si="5"/>
        <v>0.56000000000000005</v>
      </c>
      <c r="BD24" s="47"/>
      <c r="BE24" s="5"/>
      <c r="BF24" s="5"/>
      <c r="BG24" s="5"/>
    </row>
    <row r="25" spans="11:130" s="3" customFormat="1" x14ac:dyDescent="0.25"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39"/>
      <c r="AV25" s="6">
        <v>21</v>
      </c>
      <c r="AW25" s="37">
        <f t="shared" si="1"/>
        <v>34.200000000000003</v>
      </c>
      <c r="AX25" s="37">
        <f t="shared" si="2"/>
        <v>114</v>
      </c>
      <c r="AY25" s="37">
        <f t="shared" si="3"/>
        <v>102.60000000000001</v>
      </c>
      <c r="AZ25" s="6">
        <f t="shared" si="0"/>
        <v>34.18</v>
      </c>
      <c r="BA25" s="50">
        <f t="shared" si="4"/>
        <v>0.22800000000000001</v>
      </c>
      <c r="BB25" s="6">
        <v>21</v>
      </c>
      <c r="BC25" s="47">
        <f t="shared" si="5"/>
        <v>0.56000000000000005</v>
      </c>
      <c r="BD25" s="47"/>
      <c r="BE25" s="5"/>
      <c r="BF25" s="5"/>
      <c r="BG25" s="5"/>
    </row>
    <row r="26" spans="11:130" s="3" customFormat="1" x14ac:dyDescent="0.25"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39"/>
      <c r="AV26" s="6">
        <v>21.5</v>
      </c>
      <c r="AW26" s="37">
        <f t="shared" si="1"/>
        <v>34.5</v>
      </c>
      <c r="AX26" s="37">
        <f t="shared" si="2"/>
        <v>115</v>
      </c>
      <c r="AY26" s="37">
        <f t="shared" si="3"/>
        <v>103.5</v>
      </c>
      <c r="AZ26" s="6">
        <f t="shared" si="0"/>
        <v>34.49</v>
      </c>
      <c r="BA26" s="50">
        <f t="shared" si="4"/>
        <v>0.23</v>
      </c>
      <c r="BB26" s="6">
        <v>21.5</v>
      </c>
      <c r="BC26" s="47">
        <f t="shared" si="5"/>
        <v>0.56999999999999995</v>
      </c>
      <c r="BD26" s="47"/>
      <c r="BE26" s="5"/>
      <c r="BF26" s="5"/>
      <c r="BG26" s="5"/>
    </row>
    <row r="27" spans="11:130" s="3" customFormat="1" x14ac:dyDescent="0.25"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39"/>
      <c r="AV27" s="6">
        <v>22</v>
      </c>
      <c r="AW27" s="37">
        <f t="shared" si="1"/>
        <v>34.800000000000004</v>
      </c>
      <c r="AX27" s="37">
        <f t="shared" si="2"/>
        <v>116</v>
      </c>
      <c r="AY27" s="37">
        <f t="shared" si="3"/>
        <v>104.4</v>
      </c>
      <c r="AZ27" s="6">
        <f t="shared" si="0"/>
        <v>34.799999999999997</v>
      </c>
      <c r="BA27" s="50">
        <f t="shared" si="4"/>
        <v>0.23200000000000001</v>
      </c>
      <c r="BB27" s="6">
        <v>22</v>
      </c>
      <c r="BC27" s="47">
        <f t="shared" si="5"/>
        <v>0.56999999999999995</v>
      </c>
      <c r="BD27" s="47"/>
      <c r="BE27" s="5"/>
      <c r="BF27" s="5"/>
      <c r="BG27" s="5"/>
    </row>
    <row r="28" spans="11:130" s="3" customFormat="1" x14ac:dyDescent="0.25"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39"/>
      <c r="AV28" s="6">
        <v>22.5</v>
      </c>
      <c r="AW28" s="37">
        <f t="shared" si="1"/>
        <v>35.1</v>
      </c>
      <c r="AX28" s="37">
        <f t="shared" si="2"/>
        <v>117</v>
      </c>
      <c r="AY28" s="37">
        <f t="shared" si="3"/>
        <v>105.30000000000001</v>
      </c>
      <c r="AZ28" s="6">
        <f t="shared" si="0"/>
        <v>35.090000000000003</v>
      </c>
      <c r="BA28" s="50">
        <f t="shared" si="4"/>
        <v>0.23400000000000001</v>
      </c>
      <c r="BB28" s="6">
        <v>22.5</v>
      </c>
      <c r="BC28" s="47">
        <f t="shared" si="5"/>
        <v>0.57999999999999996</v>
      </c>
      <c r="BD28" s="47"/>
      <c r="BE28" s="5"/>
      <c r="BF28" s="5"/>
      <c r="BG28" s="5"/>
    </row>
    <row r="29" spans="11:130" s="3" customFormat="1" x14ac:dyDescent="0.25"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39"/>
      <c r="AV29" s="6">
        <v>23</v>
      </c>
      <c r="AW29" s="37">
        <f t="shared" si="1"/>
        <v>35.4</v>
      </c>
      <c r="AX29" s="37">
        <f t="shared" si="2"/>
        <v>118</v>
      </c>
      <c r="AY29" s="37">
        <f t="shared" si="3"/>
        <v>106.19999999999999</v>
      </c>
      <c r="AZ29" s="6">
        <f t="shared" si="0"/>
        <v>35.380000000000003</v>
      </c>
      <c r="BA29" s="50">
        <f t="shared" si="4"/>
        <v>0.23599999999999999</v>
      </c>
      <c r="BB29" s="6">
        <v>23</v>
      </c>
      <c r="BC29" s="47">
        <f t="shared" si="5"/>
        <v>0.57999999999999996</v>
      </c>
      <c r="BD29" s="47"/>
      <c r="BE29" s="5"/>
      <c r="BF29" s="5"/>
      <c r="BG29" s="5"/>
    </row>
    <row r="30" spans="11:130" s="3" customFormat="1" x14ac:dyDescent="0.25"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39"/>
      <c r="AV30" s="6">
        <v>23.5</v>
      </c>
      <c r="AW30" s="37">
        <f t="shared" si="1"/>
        <v>35.699999999999996</v>
      </c>
      <c r="AX30" s="37">
        <f t="shared" si="2"/>
        <v>119</v>
      </c>
      <c r="AY30" s="37">
        <f t="shared" si="3"/>
        <v>107.1</v>
      </c>
      <c r="AZ30" s="6">
        <f t="shared" si="0"/>
        <v>35.67</v>
      </c>
      <c r="BA30" s="50">
        <f t="shared" si="4"/>
        <v>0.23799999999999999</v>
      </c>
      <c r="BB30" s="6">
        <v>23.5</v>
      </c>
      <c r="BC30" s="47">
        <f t="shared" si="5"/>
        <v>0.57999999999999996</v>
      </c>
      <c r="BD30" s="47"/>
      <c r="BE30" s="5"/>
      <c r="BF30" s="5"/>
      <c r="BG30" s="5"/>
    </row>
    <row r="31" spans="11:130" s="3" customFormat="1" x14ac:dyDescent="0.25"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39"/>
      <c r="AV31" s="6">
        <v>24</v>
      </c>
      <c r="AW31" s="37">
        <f t="shared" si="1"/>
        <v>36</v>
      </c>
      <c r="AX31" s="37">
        <f t="shared" si="2"/>
        <v>120</v>
      </c>
      <c r="AY31" s="37">
        <f t="shared" si="3"/>
        <v>108</v>
      </c>
      <c r="AZ31" s="6">
        <f t="shared" si="0"/>
        <v>35.950000000000003</v>
      </c>
      <c r="BA31" s="50">
        <f t="shared" si="4"/>
        <v>0.24</v>
      </c>
      <c r="BB31" s="6">
        <v>24</v>
      </c>
      <c r="BC31" s="47">
        <f t="shared" si="5"/>
        <v>0.59</v>
      </c>
      <c r="BD31" s="47"/>
      <c r="BE31" s="5"/>
      <c r="BF31" s="5"/>
      <c r="BG31" s="5"/>
    </row>
    <row r="32" spans="11:130" s="3" customFormat="1" x14ac:dyDescent="0.25"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39"/>
      <c r="AV32" s="6">
        <v>24.5</v>
      </c>
      <c r="AW32" s="37">
        <f t="shared" si="1"/>
        <v>36.299999999999997</v>
      </c>
      <c r="AX32" s="37">
        <f t="shared" si="2"/>
        <v>121</v>
      </c>
      <c r="AY32" s="37">
        <f t="shared" si="3"/>
        <v>108.89999999999999</v>
      </c>
      <c r="AZ32" s="6">
        <f t="shared" si="0"/>
        <v>36.229999999999997</v>
      </c>
      <c r="BA32" s="50">
        <f t="shared" si="4"/>
        <v>0.24199999999999999</v>
      </c>
      <c r="BB32" s="6">
        <v>24.5</v>
      </c>
      <c r="BC32" s="47">
        <f t="shared" si="5"/>
        <v>0.59</v>
      </c>
      <c r="BD32" s="47"/>
      <c r="BE32" s="5"/>
      <c r="BF32" s="5"/>
      <c r="BG32" s="5"/>
    </row>
    <row r="33" spans="13:59" s="3" customFormat="1" x14ac:dyDescent="0.25"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39"/>
      <c r="AV33" s="6">
        <v>25</v>
      </c>
      <c r="AW33" s="37">
        <f t="shared" si="1"/>
        <v>36.449999999999996</v>
      </c>
      <c r="AX33" s="37">
        <f t="shared" si="2"/>
        <v>121.5</v>
      </c>
      <c r="AY33" s="37">
        <f t="shared" si="3"/>
        <v>109.35</v>
      </c>
      <c r="AZ33" s="6">
        <f t="shared" si="0"/>
        <v>36.5</v>
      </c>
      <c r="BA33" s="50">
        <f t="shared" si="4"/>
        <v>0.24299999999999999</v>
      </c>
      <c r="BB33" s="6">
        <v>25</v>
      </c>
      <c r="BC33" s="47">
        <f t="shared" si="5"/>
        <v>0.59</v>
      </c>
      <c r="BD33" s="47"/>
      <c r="BE33" s="5"/>
      <c r="BF33" s="5"/>
      <c r="BG33" s="5"/>
    </row>
    <row r="34" spans="13:59" s="3" customFormat="1" x14ac:dyDescent="0.25"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39"/>
      <c r="AV34" s="6">
        <v>25.5</v>
      </c>
      <c r="AW34" s="37">
        <f t="shared" si="1"/>
        <v>36.75</v>
      </c>
      <c r="AX34" s="37">
        <f t="shared" si="2"/>
        <v>122.5</v>
      </c>
      <c r="AY34" s="37">
        <f t="shared" si="3"/>
        <v>110.25</v>
      </c>
      <c r="AZ34" s="6">
        <f t="shared" si="0"/>
        <v>36.76</v>
      </c>
      <c r="BA34" s="50">
        <f t="shared" si="4"/>
        <v>0.245</v>
      </c>
      <c r="BB34" s="6">
        <v>25.5</v>
      </c>
      <c r="BC34" s="47">
        <f t="shared" si="5"/>
        <v>0.6</v>
      </c>
      <c r="BD34" s="47"/>
      <c r="BE34" s="5"/>
      <c r="BF34" s="5"/>
      <c r="BG34" s="5"/>
    </row>
    <row r="35" spans="13:59" s="3" customFormat="1" x14ac:dyDescent="0.25"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39"/>
      <c r="AV35" s="6">
        <v>26</v>
      </c>
      <c r="AW35" s="37">
        <f t="shared" ref="AW35:AW66" si="19">($AW$1)*BA35</f>
        <v>37.049999999999997</v>
      </c>
      <c r="AX35" s="37">
        <f t="shared" si="2"/>
        <v>123.5</v>
      </c>
      <c r="AY35" s="37">
        <f t="shared" si="3"/>
        <v>111.15</v>
      </c>
      <c r="AZ35" s="6">
        <f t="shared" ref="AZ35:AZ66" si="20">ROUND((0.000179*POWER(AV35,3))-(0.0239*(AV35*AV35))+(1.3934*AV35)+13.802,2)</f>
        <v>37.020000000000003</v>
      </c>
      <c r="BA35" s="50">
        <f t="shared" si="4"/>
        <v>0.247</v>
      </c>
      <c r="BB35" s="6">
        <v>26</v>
      </c>
      <c r="BC35" s="47">
        <f t="shared" si="5"/>
        <v>0.6</v>
      </c>
      <c r="BD35" s="47"/>
      <c r="BE35" s="5"/>
      <c r="BF35" s="5"/>
      <c r="BG35" s="5"/>
    </row>
    <row r="36" spans="13:59" s="3" customFormat="1" x14ac:dyDescent="0.25"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39"/>
      <c r="AV36" s="6">
        <v>26.5</v>
      </c>
      <c r="AW36" s="37">
        <f t="shared" si="19"/>
        <v>37.200000000000003</v>
      </c>
      <c r="AX36" s="37">
        <f t="shared" ref="AX36:AX67" si="21">($AX$1)*BA36</f>
        <v>124</v>
      </c>
      <c r="AY36" s="37">
        <f t="shared" ref="AY36:AY67" si="22">AY$1*$BA36</f>
        <v>111.6</v>
      </c>
      <c r="AZ36" s="6">
        <f t="shared" si="20"/>
        <v>37.270000000000003</v>
      </c>
      <c r="BA36" s="50">
        <f t="shared" si="4"/>
        <v>0.248</v>
      </c>
      <c r="BB36" s="6">
        <v>26.5</v>
      </c>
      <c r="BC36" s="47">
        <f t="shared" si="5"/>
        <v>0.6</v>
      </c>
      <c r="BD36" s="47"/>
      <c r="BE36" s="5"/>
      <c r="BF36" s="5"/>
      <c r="BG36" s="5"/>
    </row>
    <row r="37" spans="13:59" s="3" customFormat="1" x14ac:dyDescent="0.25"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39"/>
      <c r="AV37" s="6">
        <v>27</v>
      </c>
      <c r="AW37" s="37">
        <f t="shared" si="19"/>
        <v>37.5</v>
      </c>
      <c r="AX37" s="37">
        <f t="shared" si="21"/>
        <v>125</v>
      </c>
      <c r="AY37" s="37">
        <f t="shared" si="22"/>
        <v>112.5</v>
      </c>
      <c r="AZ37" s="6">
        <f t="shared" si="20"/>
        <v>37.520000000000003</v>
      </c>
      <c r="BA37" s="50">
        <f t="shared" si="4"/>
        <v>0.25</v>
      </c>
      <c r="BB37" s="6">
        <v>27</v>
      </c>
      <c r="BC37" s="47">
        <f t="shared" si="5"/>
        <v>0.61</v>
      </c>
      <c r="BD37" s="47"/>
      <c r="BE37" s="5"/>
      <c r="BF37" s="5"/>
      <c r="BG37" s="5"/>
    </row>
    <row r="38" spans="13:59" s="3" customFormat="1" x14ac:dyDescent="0.25"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39"/>
      <c r="AV38" s="6">
        <v>27.5</v>
      </c>
      <c r="AW38" s="37">
        <f t="shared" si="19"/>
        <v>37.799999999999997</v>
      </c>
      <c r="AX38" s="37">
        <f t="shared" si="21"/>
        <v>126</v>
      </c>
      <c r="AY38" s="37">
        <f t="shared" si="22"/>
        <v>113.4</v>
      </c>
      <c r="AZ38" s="6">
        <f t="shared" si="20"/>
        <v>37.770000000000003</v>
      </c>
      <c r="BA38" s="50">
        <f t="shared" si="4"/>
        <v>0.252</v>
      </c>
      <c r="BB38" s="6">
        <v>27.5</v>
      </c>
      <c r="BC38" s="47">
        <f t="shared" si="5"/>
        <v>0.61</v>
      </c>
      <c r="BD38" s="47"/>
      <c r="BE38" s="5"/>
      <c r="BF38" s="5"/>
      <c r="BG38" s="5"/>
    </row>
    <row r="39" spans="13:59" s="3" customFormat="1" x14ac:dyDescent="0.25"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39"/>
      <c r="AV39" s="6">
        <v>28</v>
      </c>
      <c r="AW39" s="37">
        <f t="shared" si="19"/>
        <v>37.950000000000003</v>
      </c>
      <c r="AX39" s="37">
        <f t="shared" si="21"/>
        <v>126.5</v>
      </c>
      <c r="AY39" s="37">
        <f t="shared" si="22"/>
        <v>113.85</v>
      </c>
      <c r="AZ39" s="6">
        <f t="shared" si="20"/>
        <v>38.01</v>
      </c>
      <c r="BA39" s="50">
        <f t="shared" si="4"/>
        <v>0.253</v>
      </c>
      <c r="BB39" s="6">
        <v>28</v>
      </c>
      <c r="BC39" s="47">
        <f t="shared" si="5"/>
        <v>0.61</v>
      </c>
      <c r="BD39" s="47"/>
      <c r="BE39" s="5"/>
      <c r="BF39" s="5"/>
      <c r="BG39" s="5"/>
    </row>
    <row r="40" spans="13:59" s="3" customFormat="1" x14ac:dyDescent="0.25"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39"/>
      <c r="AV40" s="6">
        <v>28.5</v>
      </c>
      <c r="AW40" s="37">
        <f t="shared" si="19"/>
        <v>38.25</v>
      </c>
      <c r="AX40" s="37">
        <f t="shared" si="21"/>
        <v>127.5</v>
      </c>
      <c r="AY40" s="37">
        <f t="shared" si="22"/>
        <v>114.75</v>
      </c>
      <c r="AZ40" s="6">
        <f t="shared" si="20"/>
        <v>38.24</v>
      </c>
      <c r="BA40" s="50">
        <f t="shared" si="4"/>
        <v>0.255</v>
      </c>
      <c r="BB40" s="6">
        <v>28.5</v>
      </c>
      <c r="BC40" s="47">
        <f t="shared" si="5"/>
        <v>0.61</v>
      </c>
      <c r="BD40" s="47"/>
      <c r="BE40" s="5"/>
      <c r="BF40" s="5"/>
      <c r="BG40" s="5"/>
    </row>
    <row r="41" spans="13:59" s="3" customFormat="1" x14ac:dyDescent="0.25"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39"/>
      <c r="AV41" s="6">
        <v>29</v>
      </c>
      <c r="AW41" s="37">
        <f t="shared" si="19"/>
        <v>38.550000000000004</v>
      </c>
      <c r="AX41" s="37">
        <f t="shared" si="21"/>
        <v>128.5</v>
      </c>
      <c r="AY41" s="37">
        <f t="shared" si="22"/>
        <v>115.65</v>
      </c>
      <c r="AZ41" s="6">
        <f t="shared" si="20"/>
        <v>38.479999999999997</v>
      </c>
      <c r="BA41" s="50">
        <f t="shared" si="4"/>
        <v>0.25700000000000001</v>
      </c>
      <c r="BB41" s="6">
        <v>29</v>
      </c>
      <c r="BC41" s="47">
        <f t="shared" si="5"/>
        <v>0.61</v>
      </c>
      <c r="BD41" s="47"/>
      <c r="BE41" s="5"/>
      <c r="BF41" s="5"/>
      <c r="BG41" s="5"/>
    </row>
    <row r="42" spans="13:59" s="3" customFormat="1" x14ac:dyDescent="0.25"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39"/>
      <c r="AV42" s="6">
        <v>29.5</v>
      </c>
      <c r="AW42" s="37">
        <f t="shared" si="19"/>
        <v>38.700000000000003</v>
      </c>
      <c r="AX42" s="37">
        <f t="shared" si="21"/>
        <v>129</v>
      </c>
      <c r="AY42" s="37">
        <f t="shared" si="22"/>
        <v>116.10000000000001</v>
      </c>
      <c r="AZ42" s="6">
        <f t="shared" si="20"/>
        <v>38.700000000000003</v>
      </c>
      <c r="BA42" s="50">
        <f t="shared" si="4"/>
        <v>0.25800000000000001</v>
      </c>
      <c r="BB42" s="6">
        <v>29.5</v>
      </c>
      <c r="BC42" s="47">
        <f t="shared" si="5"/>
        <v>0.62</v>
      </c>
      <c r="BD42" s="47"/>
      <c r="BE42" s="5"/>
      <c r="BF42" s="5"/>
      <c r="BG42" s="5"/>
    </row>
    <row r="43" spans="13:59" s="3" customFormat="1" x14ac:dyDescent="0.25"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39"/>
      <c r="AV43" s="6">
        <v>30</v>
      </c>
      <c r="AW43" s="37">
        <f t="shared" si="19"/>
        <v>39</v>
      </c>
      <c r="AX43" s="37">
        <f t="shared" si="21"/>
        <v>130</v>
      </c>
      <c r="AY43" s="37">
        <f t="shared" si="22"/>
        <v>117</v>
      </c>
      <c r="AZ43" s="6">
        <f t="shared" si="20"/>
        <v>38.93</v>
      </c>
      <c r="BA43" s="50">
        <f t="shared" si="4"/>
        <v>0.26</v>
      </c>
      <c r="BB43" s="6">
        <v>30</v>
      </c>
      <c r="BC43" s="47">
        <f t="shared" si="5"/>
        <v>0.62</v>
      </c>
      <c r="BD43" s="47"/>
      <c r="BE43" s="5"/>
      <c r="BF43" s="5"/>
      <c r="BG43" s="5"/>
    </row>
    <row r="44" spans="13:59" s="3" customFormat="1" x14ac:dyDescent="0.25"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39"/>
      <c r="AV44" s="6">
        <v>30.5</v>
      </c>
      <c r="AW44" s="37">
        <f t="shared" si="19"/>
        <v>39.15</v>
      </c>
      <c r="AX44" s="37">
        <f t="shared" si="21"/>
        <v>130.5</v>
      </c>
      <c r="AY44" s="37">
        <f t="shared" si="22"/>
        <v>117.45</v>
      </c>
      <c r="AZ44" s="6">
        <f t="shared" si="20"/>
        <v>39.15</v>
      </c>
      <c r="BA44" s="50">
        <f t="shared" si="4"/>
        <v>0.26100000000000001</v>
      </c>
      <c r="BB44" s="6">
        <v>30.5</v>
      </c>
      <c r="BC44" s="47">
        <f t="shared" si="5"/>
        <v>0.62</v>
      </c>
      <c r="BD44" s="47"/>
      <c r="BE44" s="5"/>
      <c r="BF44" s="5"/>
      <c r="BG44" s="5"/>
    </row>
    <row r="45" spans="13:59" s="3" customFormat="1" x14ac:dyDescent="0.25"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39"/>
      <c r="AV45" s="6">
        <v>31</v>
      </c>
      <c r="AW45" s="37">
        <f t="shared" si="19"/>
        <v>39.300000000000004</v>
      </c>
      <c r="AX45" s="37">
        <f t="shared" si="21"/>
        <v>131</v>
      </c>
      <c r="AY45" s="37">
        <f t="shared" si="22"/>
        <v>117.9</v>
      </c>
      <c r="AZ45" s="6">
        <f t="shared" si="20"/>
        <v>39.36</v>
      </c>
      <c r="BA45" s="50">
        <f t="shared" si="4"/>
        <v>0.26200000000000001</v>
      </c>
      <c r="BB45" s="6">
        <v>31</v>
      </c>
      <c r="BC45" s="47">
        <f t="shared" si="5"/>
        <v>0.62</v>
      </c>
      <c r="BD45" s="47"/>
      <c r="BE45" s="5"/>
      <c r="BF45" s="5"/>
      <c r="BG45" s="5"/>
    </row>
    <row r="46" spans="13:59" s="3" customFormat="1" x14ac:dyDescent="0.25"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39"/>
      <c r="AV46" s="6">
        <v>31.5</v>
      </c>
      <c r="AW46" s="37">
        <f t="shared" si="19"/>
        <v>39.6</v>
      </c>
      <c r="AX46" s="37">
        <f t="shared" si="21"/>
        <v>132</v>
      </c>
      <c r="AY46" s="37">
        <f t="shared" si="22"/>
        <v>118.80000000000001</v>
      </c>
      <c r="AZ46" s="6">
        <f t="shared" si="20"/>
        <v>39.57</v>
      </c>
      <c r="BA46" s="50">
        <f t="shared" si="4"/>
        <v>0.26400000000000001</v>
      </c>
      <c r="BB46" s="6">
        <v>31.5</v>
      </c>
      <c r="BC46" s="47">
        <f t="shared" si="5"/>
        <v>0.62</v>
      </c>
      <c r="BD46" s="47"/>
      <c r="BE46" s="5"/>
      <c r="BF46" s="5"/>
      <c r="BG46" s="5"/>
    </row>
    <row r="47" spans="13:59" s="3" customFormat="1" x14ac:dyDescent="0.25"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39"/>
      <c r="AV47" s="6">
        <v>32</v>
      </c>
      <c r="AW47" s="37">
        <f t="shared" si="19"/>
        <v>39.75</v>
      </c>
      <c r="AX47" s="37">
        <f t="shared" si="21"/>
        <v>132.5</v>
      </c>
      <c r="AY47" s="37">
        <f t="shared" si="22"/>
        <v>119.25</v>
      </c>
      <c r="AZ47" s="6">
        <f t="shared" si="20"/>
        <v>39.78</v>
      </c>
      <c r="BA47" s="50">
        <f t="shared" si="4"/>
        <v>0.26500000000000001</v>
      </c>
      <c r="BB47" s="6">
        <v>32</v>
      </c>
      <c r="BC47" s="47">
        <f t="shared" si="5"/>
        <v>0.62</v>
      </c>
      <c r="BD47" s="47"/>
      <c r="BE47" s="5"/>
      <c r="BF47" s="5"/>
      <c r="BG47" s="5"/>
    </row>
    <row r="48" spans="13:59" s="3" customFormat="1" x14ac:dyDescent="0.25"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39"/>
      <c r="AV48" s="6">
        <v>32.5</v>
      </c>
      <c r="AW48" s="37">
        <f t="shared" si="19"/>
        <v>40.050000000000004</v>
      </c>
      <c r="AX48" s="37">
        <f t="shared" si="21"/>
        <v>133.5</v>
      </c>
      <c r="AY48" s="37">
        <f t="shared" si="22"/>
        <v>120.15</v>
      </c>
      <c r="AZ48" s="6">
        <f t="shared" si="20"/>
        <v>39.99</v>
      </c>
      <c r="BA48" s="50">
        <f t="shared" si="4"/>
        <v>0.26700000000000002</v>
      </c>
      <c r="BB48" s="6">
        <v>32.5</v>
      </c>
      <c r="BC48" s="47">
        <f t="shared" si="5"/>
        <v>0.63</v>
      </c>
      <c r="BD48" s="47"/>
      <c r="BE48" s="5"/>
      <c r="BF48" s="5"/>
      <c r="BG48" s="5"/>
    </row>
    <row r="49" spans="13:59" s="3" customFormat="1" x14ac:dyDescent="0.25"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39"/>
      <c r="AV49" s="6">
        <v>33</v>
      </c>
      <c r="AW49" s="37">
        <f t="shared" si="19"/>
        <v>40.200000000000003</v>
      </c>
      <c r="AX49" s="37">
        <f t="shared" si="21"/>
        <v>134</v>
      </c>
      <c r="AY49" s="37">
        <f t="shared" si="22"/>
        <v>120.60000000000001</v>
      </c>
      <c r="AZ49" s="6">
        <f t="shared" si="20"/>
        <v>40.19</v>
      </c>
      <c r="BA49" s="50">
        <f t="shared" si="4"/>
        <v>0.26800000000000002</v>
      </c>
      <c r="BB49" s="6">
        <v>33</v>
      </c>
      <c r="BC49" s="47">
        <f t="shared" si="5"/>
        <v>0.63</v>
      </c>
      <c r="BD49" s="47"/>
      <c r="BE49" s="5"/>
      <c r="BF49" s="5"/>
      <c r="BG49" s="5"/>
    </row>
    <row r="50" spans="13:59" s="3" customFormat="1" x14ac:dyDescent="0.25"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39"/>
      <c r="AV50" s="6">
        <v>33.5</v>
      </c>
      <c r="AW50" s="37">
        <f t="shared" si="19"/>
        <v>40.35</v>
      </c>
      <c r="AX50" s="37">
        <f t="shared" si="21"/>
        <v>134.5</v>
      </c>
      <c r="AY50" s="37">
        <f t="shared" si="22"/>
        <v>121.05000000000001</v>
      </c>
      <c r="AZ50" s="6">
        <f t="shared" si="20"/>
        <v>40.39</v>
      </c>
      <c r="BA50" s="50">
        <f t="shared" si="4"/>
        <v>0.26900000000000002</v>
      </c>
      <c r="BB50" s="6">
        <v>33.5</v>
      </c>
      <c r="BC50" s="47">
        <f t="shared" si="5"/>
        <v>0.63</v>
      </c>
      <c r="BD50" s="47"/>
      <c r="BE50" s="5"/>
      <c r="BF50" s="5"/>
      <c r="BG50" s="5"/>
    </row>
    <row r="51" spans="13:59" s="3" customFormat="1" x14ac:dyDescent="0.25"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39"/>
      <c r="AV51" s="6">
        <v>34</v>
      </c>
      <c r="AW51" s="37">
        <f t="shared" si="19"/>
        <v>40.650000000000006</v>
      </c>
      <c r="AX51" s="37">
        <f t="shared" si="21"/>
        <v>135.5</v>
      </c>
      <c r="AY51" s="37">
        <f t="shared" si="22"/>
        <v>121.95</v>
      </c>
      <c r="AZ51" s="6">
        <f t="shared" si="20"/>
        <v>40.58</v>
      </c>
      <c r="BA51" s="50">
        <f t="shared" si="4"/>
        <v>0.27100000000000002</v>
      </c>
      <c r="BB51" s="6">
        <v>34</v>
      </c>
      <c r="BC51" s="47">
        <f t="shared" si="5"/>
        <v>0.63</v>
      </c>
      <c r="BD51" s="47"/>
      <c r="BE51" s="5"/>
      <c r="BF51" s="5"/>
      <c r="BG51" s="5"/>
    </row>
    <row r="52" spans="13:59" s="3" customFormat="1" x14ac:dyDescent="0.25"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39"/>
      <c r="AV52" s="6">
        <v>34.5</v>
      </c>
      <c r="AW52" s="37">
        <f t="shared" si="19"/>
        <v>40.800000000000004</v>
      </c>
      <c r="AX52" s="37">
        <f t="shared" si="21"/>
        <v>136</v>
      </c>
      <c r="AY52" s="37">
        <f t="shared" si="22"/>
        <v>122.4</v>
      </c>
      <c r="AZ52" s="6">
        <f t="shared" si="20"/>
        <v>40.78</v>
      </c>
      <c r="BA52" s="50">
        <f t="shared" si="4"/>
        <v>0.27200000000000002</v>
      </c>
      <c r="BB52" s="6">
        <v>34.5</v>
      </c>
      <c r="BC52" s="47">
        <f t="shared" si="5"/>
        <v>0.63</v>
      </c>
      <c r="BD52" s="47"/>
      <c r="BE52" s="5"/>
      <c r="BF52" s="5"/>
      <c r="BG52" s="5"/>
    </row>
    <row r="53" spans="13:59" s="3" customFormat="1" x14ac:dyDescent="0.25"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39"/>
      <c r="AV53" s="6">
        <v>35</v>
      </c>
      <c r="AW53" s="37">
        <f t="shared" si="19"/>
        <v>40.950000000000003</v>
      </c>
      <c r="AX53" s="37">
        <f t="shared" si="21"/>
        <v>136.5</v>
      </c>
      <c r="AY53" s="37">
        <f t="shared" si="22"/>
        <v>122.85000000000001</v>
      </c>
      <c r="AZ53" s="6">
        <f t="shared" si="20"/>
        <v>40.97</v>
      </c>
      <c r="BA53" s="50">
        <f t="shared" si="4"/>
        <v>0.27300000000000002</v>
      </c>
      <c r="BB53" s="6">
        <v>35</v>
      </c>
      <c r="BC53" s="47">
        <f t="shared" si="5"/>
        <v>0.63</v>
      </c>
      <c r="BD53" s="47"/>
      <c r="BE53" s="5"/>
      <c r="BF53" s="5"/>
      <c r="BG53" s="5"/>
    </row>
    <row r="54" spans="13:59" s="3" customFormat="1" x14ac:dyDescent="0.25"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39"/>
      <c r="AV54" s="6">
        <v>35.5</v>
      </c>
      <c r="AW54" s="37">
        <f t="shared" si="19"/>
        <v>41.1</v>
      </c>
      <c r="AX54" s="37">
        <f t="shared" si="21"/>
        <v>137</v>
      </c>
      <c r="AY54" s="37">
        <f t="shared" si="22"/>
        <v>123.30000000000001</v>
      </c>
      <c r="AZ54" s="6">
        <f t="shared" si="20"/>
        <v>41.16</v>
      </c>
      <c r="BA54" s="50">
        <f t="shared" si="4"/>
        <v>0.27400000000000002</v>
      </c>
      <c r="BB54" s="6">
        <v>35.5</v>
      </c>
      <c r="BC54" s="47">
        <f t="shared" si="5"/>
        <v>0.63</v>
      </c>
      <c r="BD54" s="47"/>
      <c r="BE54" s="5"/>
      <c r="BF54" s="5"/>
      <c r="BG54" s="5"/>
    </row>
    <row r="55" spans="13:59" s="3" customFormat="1" x14ac:dyDescent="0.25"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39"/>
      <c r="AV55" s="6">
        <v>36</v>
      </c>
      <c r="AW55" s="37">
        <f t="shared" si="19"/>
        <v>41.400000000000006</v>
      </c>
      <c r="AX55" s="37">
        <f t="shared" si="21"/>
        <v>138</v>
      </c>
      <c r="AY55" s="37">
        <f t="shared" si="22"/>
        <v>124.20000000000002</v>
      </c>
      <c r="AZ55" s="6">
        <f t="shared" si="20"/>
        <v>41.34</v>
      </c>
      <c r="BA55" s="50">
        <f t="shared" si="4"/>
        <v>0.27600000000000002</v>
      </c>
      <c r="BB55" s="6">
        <v>36</v>
      </c>
      <c r="BC55" s="47">
        <f t="shared" si="5"/>
        <v>0.63</v>
      </c>
      <c r="BD55" s="47"/>
      <c r="BE55" s="5"/>
      <c r="BF55" s="5"/>
      <c r="BG55" s="5"/>
    </row>
    <row r="56" spans="13:59" s="3" customFormat="1" x14ac:dyDescent="0.25"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39"/>
      <c r="AV56" s="6">
        <v>36.5</v>
      </c>
      <c r="AW56" s="37">
        <f t="shared" si="19"/>
        <v>41.550000000000004</v>
      </c>
      <c r="AX56" s="37">
        <f t="shared" si="21"/>
        <v>138.5</v>
      </c>
      <c r="AY56" s="37">
        <f t="shared" si="22"/>
        <v>124.65</v>
      </c>
      <c r="AZ56" s="6">
        <f t="shared" si="20"/>
        <v>41.52</v>
      </c>
      <c r="BA56" s="50">
        <f t="shared" si="4"/>
        <v>0.27700000000000002</v>
      </c>
      <c r="BB56" s="6">
        <v>36.5</v>
      </c>
      <c r="BC56" s="47">
        <f t="shared" si="5"/>
        <v>0.63</v>
      </c>
      <c r="BD56" s="47"/>
      <c r="BE56" s="5"/>
      <c r="BF56" s="5"/>
      <c r="BG56" s="5"/>
    </row>
    <row r="57" spans="13:59" s="3" customFormat="1" x14ac:dyDescent="0.25"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39"/>
      <c r="AV57" s="6">
        <v>37</v>
      </c>
      <c r="AW57" s="37">
        <f t="shared" si="19"/>
        <v>41.7</v>
      </c>
      <c r="AX57" s="37">
        <f t="shared" si="21"/>
        <v>139</v>
      </c>
      <c r="AY57" s="37">
        <f t="shared" si="22"/>
        <v>125.10000000000001</v>
      </c>
      <c r="AZ57" s="6">
        <f t="shared" si="20"/>
        <v>41.71</v>
      </c>
      <c r="BA57" s="50">
        <f t="shared" si="4"/>
        <v>0.27800000000000002</v>
      </c>
      <c r="BB57" s="6">
        <v>37</v>
      </c>
      <c r="BC57" s="47">
        <f t="shared" si="5"/>
        <v>0.63</v>
      </c>
      <c r="BD57" s="47"/>
      <c r="BE57" s="5"/>
      <c r="BF57" s="5"/>
      <c r="BG57" s="5"/>
    </row>
    <row r="58" spans="13:59" s="3" customFormat="1" x14ac:dyDescent="0.25"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39"/>
      <c r="AV58" s="6">
        <v>37.5</v>
      </c>
      <c r="AW58" s="37">
        <f t="shared" si="19"/>
        <v>41.85</v>
      </c>
      <c r="AX58" s="37">
        <f t="shared" si="21"/>
        <v>139.5</v>
      </c>
      <c r="AY58" s="37">
        <f t="shared" si="22"/>
        <v>125.55000000000001</v>
      </c>
      <c r="AZ58" s="6">
        <f t="shared" si="20"/>
        <v>41.88</v>
      </c>
      <c r="BA58" s="50">
        <f t="shared" si="4"/>
        <v>0.27900000000000003</v>
      </c>
      <c r="BB58" s="6">
        <v>37.5</v>
      </c>
      <c r="BC58" s="47">
        <f t="shared" si="5"/>
        <v>0.63</v>
      </c>
      <c r="BD58" s="47"/>
      <c r="BE58" s="5"/>
      <c r="BF58" s="5"/>
      <c r="BG58" s="5"/>
    </row>
    <row r="59" spans="13:59" s="3" customFormat="1" x14ac:dyDescent="0.25"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39"/>
      <c r="AV59" s="6">
        <v>38</v>
      </c>
      <c r="AW59" s="37">
        <f t="shared" si="19"/>
        <v>42.000000000000007</v>
      </c>
      <c r="AX59" s="37">
        <f t="shared" si="21"/>
        <v>140</v>
      </c>
      <c r="AY59" s="37">
        <f t="shared" si="22"/>
        <v>126.00000000000001</v>
      </c>
      <c r="AZ59" s="6">
        <f t="shared" si="20"/>
        <v>42.06</v>
      </c>
      <c r="BA59" s="50">
        <f t="shared" si="4"/>
        <v>0.28000000000000003</v>
      </c>
      <c r="BB59" s="6">
        <v>38</v>
      </c>
      <c r="BC59" s="47">
        <f t="shared" si="5"/>
        <v>0.64</v>
      </c>
      <c r="BD59" s="47"/>
      <c r="BE59" s="5"/>
      <c r="BF59" s="5"/>
      <c r="BG59" s="5"/>
    </row>
    <row r="60" spans="13:59" s="3" customFormat="1" x14ac:dyDescent="0.25"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39"/>
      <c r="AV60" s="6">
        <v>38.5</v>
      </c>
      <c r="AW60" s="37">
        <f t="shared" si="19"/>
        <v>42.3</v>
      </c>
      <c r="AX60" s="37">
        <f t="shared" si="21"/>
        <v>141</v>
      </c>
      <c r="AY60" s="37">
        <f t="shared" si="22"/>
        <v>126.89999999999999</v>
      </c>
      <c r="AZ60" s="6">
        <f t="shared" si="20"/>
        <v>42.24</v>
      </c>
      <c r="BA60" s="50">
        <f t="shared" si="4"/>
        <v>0.28199999999999997</v>
      </c>
      <c r="BB60" s="6">
        <v>38.5</v>
      </c>
      <c r="BC60" s="47">
        <f t="shared" si="5"/>
        <v>0.64</v>
      </c>
      <c r="BD60" s="47"/>
      <c r="BE60" s="5"/>
      <c r="BF60" s="5"/>
      <c r="BG60" s="5"/>
    </row>
    <row r="61" spans="13:59" s="3" customFormat="1" x14ac:dyDescent="0.25"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39"/>
      <c r="AV61" s="6">
        <v>39</v>
      </c>
      <c r="AW61" s="37">
        <f t="shared" si="19"/>
        <v>42.449999999999996</v>
      </c>
      <c r="AX61" s="37">
        <f t="shared" si="21"/>
        <v>141.5</v>
      </c>
      <c r="AY61" s="37">
        <f t="shared" si="22"/>
        <v>127.35</v>
      </c>
      <c r="AZ61" s="6">
        <f t="shared" si="20"/>
        <v>42.41</v>
      </c>
      <c r="BA61" s="50">
        <f t="shared" si="4"/>
        <v>0.28299999999999997</v>
      </c>
      <c r="BB61" s="6">
        <v>39</v>
      </c>
      <c r="BC61" s="47">
        <f t="shared" si="5"/>
        <v>0.64</v>
      </c>
      <c r="BD61" s="47"/>
      <c r="BE61" s="5"/>
      <c r="BF61" s="5"/>
      <c r="BG61" s="5"/>
    </row>
    <row r="62" spans="13:59" s="3" customFormat="1" x14ac:dyDescent="0.25"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39"/>
      <c r="AV62" s="6">
        <v>39.5</v>
      </c>
      <c r="AW62" s="37">
        <f t="shared" si="19"/>
        <v>42.599999999999994</v>
      </c>
      <c r="AX62" s="37">
        <f t="shared" si="21"/>
        <v>142</v>
      </c>
      <c r="AY62" s="37">
        <f t="shared" si="22"/>
        <v>127.79999999999998</v>
      </c>
      <c r="AZ62" s="6">
        <f t="shared" si="20"/>
        <v>42.58</v>
      </c>
      <c r="BA62" s="50">
        <f t="shared" si="4"/>
        <v>0.28399999999999997</v>
      </c>
      <c r="BB62" s="6">
        <v>39.5</v>
      </c>
      <c r="BC62" s="47">
        <f t="shared" si="5"/>
        <v>0.64</v>
      </c>
      <c r="BD62" s="47"/>
      <c r="BE62" s="5"/>
      <c r="BF62" s="5"/>
      <c r="BG62" s="5"/>
    </row>
    <row r="63" spans="13:59" s="3" customFormat="1" x14ac:dyDescent="0.25"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39"/>
      <c r="AV63" s="6">
        <v>40</v>
      </c>
      <c r="AW63" s="37">
        <f t="shared" si="19"/>
        <v>42.749999999999993</v>
      </c>
      <c r="AX63" s="37">
        <f t="shared" si="21"/>
        <v>142.5</v>
      </c>
      <c r="AY63" s="37">
        <f t="shared" si="22"/>
        <v>128.25</v>
      </c>
      <c r="AZ63" s="6">
        <f t="shared" si="20"/>
        <v>42.75</v>
      </c>
      <c r="BA63" s="50">
        <f t="shared" si="4"/>
        <v>0.28499999999999998</v>
      </c>
      <c r="BB63" s="6">
        <v>40</v>
      </c>
      <c r="BC63" s="47">
        <f t="shared" si="5"/>
        <v>0.64</v>
      </c>
      <c r="BD63" s="47"/>
      <c r="BE63" s="5"/>
      <c r="BF63" s="5"/>
      <c r="BG63" s="5"/>
    </row>
    <row r="64" spans="13:59" s="3" customFormat="1" x14ac:dyDescent="0.25"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39"/>
      <c r="AV64" s="6">
        <v>40.5</v>
      </c>
      <c r="AW64" s="37">
        <f t="shared" si="19"/>
        <v>42.9</v>
      </c>
      <c r="AX64" s="37">
        <f t="shared" si="21"/>
        <v>143</v>
      </c>
      <c r="AY64" s="37">
        <f t="shared" si="22"/>
        <v>128.69999999999999</v>
      </c>
      <c r="AZ64" s="6">
        <f t="shared" si="20"/>
        <v>42.92</v>
      </c>
      <c r="BA64" s="50">
        <f t="shared" si="4"/>
        <v>0.28599999999999998</v>
      </c>
      <c r="BB64" s="6">
        <v>40.5</v>
      </c>
      <c r="BC64" s="47">
        <f t="shared" si="5"/>
        <v>0.64</v>
      </c>
      <c r="BD64" s="47"/>
      <c r="BE64" s="5"/>
      <c r="BF64" s="5"/>
      <c r="BG64" s="5"/>
    </row>
    <row r="65" spans="13:59" s="3" customFormat="1" x14ac:dyDescent="0.25"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39"/>
      <c r="AV65" s="6">
        <v>41</v>
      </c>
      <c r="AW65" s="37">
        <f t="shared" si="19"/>
        <v>43.05</v>
      </c>
      <c r="AX65" s="37">
        <f t="shared" si="21"/>
        <v>143.5</v>
      </c>
      <c r="AY65" s="37">
        <f t="shared" si="22"/>
        <v>129.14999999999998</v>
      </c>
      <c r="AZ65" s="6">
        <f t="shared" si="20"/>
        <v>43.09</v>
      </c>
      <c r="BA65" s="50">
        <f t="shared" si="4"/>
        <v>0.28699999999999998</v>
      </c>
      <c r="BB65" s="6">
        <v>41</v>
      </c>
      <c r="BC65" s="47">
        <f t="shared" si="5"/>
        <v>0.64</v>
      </c>
      <c r="BD65" s="47"/>
      <c r="BE65" s="5"/>
      <c r="BF65" s="5"/>
      <c r="BG65" s="5"/>
    </row>
    <row r="66" spans="13:59" s="3" customFormat="1" x14ac:dyDescent="0.25"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39"/>
      <c r="AV66" s="6">
        <v>41.5</v>
      </c>
      <c r="AW66" s="37">
        <f t="shared" si="19"/>
        <v>43.199999999999996</v>
      </c>
      <c r="AX66" s="37">
        <f t="shared" si="21"/>
        <v>144</v>
      </c>
      <c r="AY66" s="37">
        <f t="shared" si="22"/>
        <v>129.6</v>
      </c>
      <c r="AZ66" s="6">
        <f t="shared" si="20"/>
        <v>43.26</v>
      </c>
      <c r="BA66" s="50">
        <f t="shared" si="4"/>
        <v>0.28799999999999998</v>
      </c>
      <c r="BB66" s="6">
        <v>41.5</v>
      </c>
      <c r="BC66" s="47">
        <f t="shared" si="5"/>
        <v>0.64</v>
      </c>
      <c r="BD66" s="47"/>
      <c r="BE66" s="5"/>
      <c r="BF66" s="5"/>
      <c r="BG66" s="5"/>
    </row>
    <row r="67" spans="13:59" s="3" customFormat="1" x14ac:dyDescent="0.25"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39"/>
      <c r="AV67" s="6">
        <v>42</v>
      </c>
      <c r="AW67" s="37">
        <f t="shared" ref="AW67:AW98" si="23">($AW$1)*BA67</f>
        <v>43.5</v>
      </c>
      <c r="AX67" s="37">
        <f t="shared" si="21"/>
        <v>145</v>
      </c>
      <c r="AY67" s="37">
        <f t="shared" si="22"/>
        <v>130.5</v>
      </c>
      <c r="AZ67" s="6">
        <f t="shared" ref="AZ67:AZ98" si="24">ROUND((0.000179*POWER(AV67,3))-(0.0239*(AV67*AV67))+(1.3934*AV67)+13.802,2)</f>
        <v>43.43</v>
      </c>
      <c r="BA67" s="50">
        <f t="shared" si="4"/>
        <v>0.28999999999999998</v>
      </c>
      <c r="BB67" s="6">
        <v>42</v>
      </c>
      <c r="BC67" s="47">
        <f t="shared" si="5"/>
        <v>0.64</v>
      </c>
      <c r="BD67" s="47"/>
      <c r="BE67" s="5"/>
      <c r="BF67" s="5"/>
      <c r="BG67" s="5"/>
    </row>
    <row r="68" spans="13:59" s="3" customFormat="1" x14ac:dyDescent="0.25"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39"/>
      <c r="AV68" s="6">
        <v>42.5</v>
      </c>
      <c r="AW68" s="37">
        <f t="shared" si="23"/>
        <v>43.65</v>
      </c>
      <c r="AX68" s="37">
        <f t="shared" ref="AX68:AX99" si="25">($AX$1)*BA68</f>
        <v>145.5</v>
      </c>
      <c r="AY68" s="37">
        <f t="shared" ref="AY68:AY99" si="26">AY$1*$BA68</f>
        <v>130.94999999999999</v>
      </c>
      <c r="AZ68" s="6">
        <f t="shared" si="24"/>
        <v>43.59</v>
      </c>
      <c r="BA68" s="50">
        <f t="shared" ref="BA68:BA123" si="27">ROUND(AZ68/$AW$1,3)</f>
        <v>0.29099999999999998</v>
      </c>
      <c r="BB68" s="6">
        <v>42.5</v>
      </c>
      <c r="BC68" s="47">
        <f t="shared" ref="BC68:BC123" si="28">ROUND((0.00000611*POWER(BB68,3))-(0.00079*(BB68*BB68))+0.0345*BB68+0.1295,2)</f>
        <v>0.64</v>
      </c>
      <c r="BD68" s="47"/>
      <c r="BE68" s="5"/>
      <c r="BF68" s="5"/>
      <c r="BG68" s="5"/>
    </row>
    <row r="69" spans="13:59" s="3" customFormat="1" x14ac:dyDescent="0.25"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39"/>
      <c r="AV69" s="6">
        <v>43</v>
      </c>
      <c r="AW69" s="37">
        <f t="shared" si="23"/>
        <v>43.8</v>
      </c>
      <c r="AX69" s="37">
        <f t="shared" si="25"/>
        <v>146</v>
      </c>
      <c r="AY69" s="37">
        <f t="shared" si="26"/>
        <v>131.4</v>
      </c>
      <c r="AZ69" s="6">
        <f t="shared" si="24"/>
        <v>43.76</v>
      </c>
      <c r="BA69" s="50">
        <f t="shared" si="27"/>
        <v>0.29199999999999998</v>
      </c>
      <c r="BB69" s="6">
        <v>43</v>
      </c>
      <c r="BC69" s="47">
        <f t="shared" si="28"/>
        <v>0.64</v>
      </c>
      <c r="BD69" s="47"/>
      <c r="BE69" s="5"/>
      <c r="BF69" s="5"/>
      <c r="BG69" s="5"/>
    </row>
    <row r="70" spans="13:59" s="3" customFormat="1" x14ac:dyDescent="0.25"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39"/>
      <c r="AV70" s="6">
        <v>43.5</v>
      </c>
      <c r="AW70" s="37">
        <f t="shared" si="23"/>
        <v>43.949999999999996</v>
      </c>
      <c r="AX70" s="37">
        <f t="shared" si="25"/>
        <v>146.5</v>
      </c>
      <c r="AY70" s="37">
        <f t="shared" si="26"/>
        <v>131.85</v>
      </c>
      <c r="AZ70" s="6">
        <f t="shared" si="24"/>
        <v>43.92</v>
      </c>
      <c r="BA70" s="50">
        <f t="shared" si="27"/>
        <v>0.29299999999999998</v>
      </c>
      <c r="BB70" s="6">
        <v>43.5</v>
      </c>
      <c r="BC70" s="47">
        <f t="shared" si="28"/>
        <v>0.64</v>
      </c>
      <c r="BD70" s="47"/>
      <c r="BE70" s="5"/>
      <c r="BF70" s="5"/>
      <c r="BG70" s="5"/>
    </row>
    <row r="71" spans="13:59" s="3" customFormat="1" x14ac:dyDescent="0.25"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39"/>
      <c r="AV71" s="6">
        <v>44</v>
      </c>
      <c r="AW71" s="37">
        <f t="shared" si="23"/>
        <v>44.099999999999994</v>
      </c>
      <c r="AX71" s="37">
        <f t="shared" si="25"/>
        <v>147</v>
      </c>
      <c r="AY71" s="37">
        <f t="shared" si="26"/>
        <v>132.29999999999998</v>
      </c>
      <c r="AZ71" s="6">
        <f t="shared" si="24"/>
        <v>44.09</v>
      </c>
      <c r="BA71" s="50">
        <f t="shared" si="27"/>
        <v>0.29399999999999998</v>
      </c>
      <c r="BB71" s="6">
        <v>44</v>
      </c>
      <c r="BC71" s="47">
        <f t="shared" si="28"/>
        <v>0.64</v>
      </c>
      <c r="BD71" s="47"/>
      <c r="BE71" s="5"/>
      <c r="BF71" s="5"/>
      <c r="BG71" s="5"/>
    </row>
    <row r="72" spans="13:59" s="3" customFormat="1" x14ac:dyDescent="0.25"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39"/>
      <c r="AV72" s="6">
        <v>44.5</v>
      </c>
      <c r="AW72" s="37">
        <f t="shared" si="23"/>
        <v>44.25</v>
      </c>
      <c r="AX72" s="37">
        <f t="shared" si="25"/>
        <v>147.5</v>
      </c>
      <c r="AY72" s="37">
        <f t="shared" si="26"/>
        <v>132.75</v>
      </c>
      <c r="AZ72" s="6">
        <f t="shared" si="24"/>
        <v>44.25</v>
      </c>
      <c r="BA72" s="50">
        <f t="shared" si="27"/>
        <v>0.29499999999999998</v>
      </c>
      <c r="BB72" s="6">
        <v>44.5</v>
      </c>
      <c r="BC72" s="47">
        <f t="shared" si="28"/>
        <v>0.64</v>
      </c>
      <c r="BD72" s="47"/>
      <c r="BE72" s="5"/>
      <c r="BF72" s="5"/>
      <c r="BG72" s="5"/>
    </row>
    <row r="73" spans="13:59" s="3" customFormat="1" x14ac:dyDescent="0.25"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39"/>
      <c r="AV73" s="6">
        <v>45</v>
      </c>
      <c r="AW73" s="37">
        <f t="shared" si="23"/>
        <v>44.4</v>
      </c>
      <c r="AX73" s="37">
        <f t="shared" si="25"/>
        <v>148</v>
      </c>
      <c r="AY73" s="37">
        <f t="shared" si="26"/>
        <v>133.19999999999999</v>
      </c>
      <c r="AZ73" s="6">
        <f t="shared" si="24"/>
        <v>44.42</v>
      </c>
      <c r="BA73" s="50">
        <f t="shared" si="27"/>
        <v>0.29599999999999999</v>
      </c>
      <c r="BB73" s="6">
        <v>45</v>
      </c>
      <c r="BC73" s="47">
        <f t="shared" si="28"/>
        <v>0.64</v>
      </c>
      <c r="BD73" s="47"/>
      <c r="BE73" s="5"/>
      <c r="BF73" s="5"/>
      <c r="BG73" s="5"/>
    </row>
    <row r="74" spans="13:59" s="3" customFormat="1" x14ac:dyDescent="0.25"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39"/>
      <c r="AV74" s="6">
        <v>45.5</v>
      </c>
      <c r="AW74" s="37">
        <f t="shared" si="23"/>
        <v>44.55</v>
      </c>
      <c r="AX74" s="37">
        <f t="shared" si="25"/>
        <v>148.5</v>
      </c>
      <c r="AY74" s="37">
        <f t="shared" si="26"/>
        <v>133.65</v>
      </c>
      <c r="AZ74" s="6">
        <f t="shared" si="24"/>
        <v>44.58</v>
      </c>
      <c r="BA74" s="50">
        <f t="shared" si="27"/>
        <v>0.29699999999999999</v>
      </c>
      <c r="BB74" s="6">
        <v>45.5</v>
      </c>
      <c r="BC74" s="47">
        <f t="shared" si="28"/>
        <v>0.64</v>
      </c>
      <c r="BD74" s="47"/>
      <c r="BE74" s="5"/>
      <c r="BF74" s="5"/>
      <c r="BG74" s="5"/>
    </row>
    <row r="75" spans="13:59" s="3" customFormat="1" x14ac:dyDescent="0.25"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39"/>
      <c r="AV75" s="6">
        <v>46</v>
      </c>
      <c r="AW75" s="37">
        <f t="shared" si="23"/>
        <v>44.699999999999996</v>
      </c>
      <c r="AX75" s="37">
        <f t="shared" si="25"/>
        <v>149</v>
      </c>
      <c r="AY75" s="37">
        <f t="shared" si="26"/>
        <v>134.1</v>
      </c>
      <c r="AZ75" s="6">
        <f t="shared" si="24"/>
        <v>44.75</v>
      </c>
      <c r="BA75" s="50">
        <f t="shared" si="27"/>
        <v>0.29799999999999999</v>
      </c>
      <c r="BB75" s="6">
        <v>46</v>
      </c>
      <c r="BC75" s="47">
        <f t="shared" si="28"/>
        <v>0.64</v>
      </c>
      <c r="BD75" s="47"/>
      <c r="BE75" s="5"/>
      <c r="BF75" s="5"/>
      <c r="BG75" s="5"/>
    </row>
    <row r="76" spans="13:59" s="3" customFormat="1" x14ac:dyDescent="0.25"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39"/>
      <c r="AV76" s="6">
        <v>46.5</v>
      </c>
      <c r="AW76" s="37">
        <f t="shared" si="23"/>
        <v>44.85</v>
      </c>
      <c r="AX76" s="37">
        <f t="shared" si="25"/>
        <v>149.5</v>
      </c>
      <c r="AY76" s="37">
        <f t="shared" si="26"/>
        <v>134.54999999999998</v>
      </c>
      <c r="AZ76" s="6">
        <f t="shared" si="24"/>
        <v>44.91</v>
      </c>
      <c r="BA76" s="50">
        <f t="shared" si="27"/>
        <v>0.29899999999999999</v>
      </c>
      <c r="BB76" s="6">
        <v>46.5</v>
      </c>
      <c r="BC76" s="47">
        <f t="shared" si="28"/>
        <v>0.64</v>
      </c>
      <c r="BD76" s="47"/>
      <c r="BE76" s="5"/>
      <c r="BF76" s="5"/>
      <c r="BG76" s="5"/>
    </row>
    <row r="77" spans="13:59" s="3" customFormat="1" x14ac:dyDescent="0.25"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39"/>
      <c r="AV77" s="6">
        <v>47</v>
      </c>
      <c r="AW77" s="37">
        <f t="shared" si="23"/>
        <v>45.15</v>
      </c>
      <c r="AX77" s="37">
        <f t="shared" si="25"/>
        <v>150.5</v>
      </c>
      <c r="AY77" s="37">
        <f t="shared" si="26"/>
        <v>135.44999999999999</v>
      </c>
      <c r="AZ77" s="6">
        <f t="shared" si="24"/>
        <v>45.08</v>
      </c>
      <c r="BA77" s="50">
        <f t="shared" si="27"/>
        <v>0.30099999999999999</v>
      </c>
      <c r="BB77" s="6">
        <v>47</v>
      </c>
      <c r="BC77" s="47">
        <f t="shared" si="28"/>
        <v>0.64</v>
      </c>
      <c r="BD77" s="47"/>
      <c r="BE77" s="5"/>
      <c r="BF77" s="5"/>
      <c r="BG77" s="5"/>
    </row>
    <row r="78" spans="13:59" s="3" customFormat="1" x14ac:dyDescent="0.25"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39"/>
      <c r="AV78" s="6">
        <v>47.5</v>
      </c>
      <c r="AW78" s="37">
        <f t="shared" si="23"/>
        <v>45.3</v>
      </c>
      <c r="AX78" s="37">
        <f t="shared" si="25"/>
        <v>151</v>
      </c>
      <c r="AY78" s="37">
        <f t="shared" si="26"/>
        <v>135.9</v>
      </c>
      <c r="AZ78" s="6">
        <f t="shared" si="24"/>
        <v>45.25</v>
      </c>
      <c r="BA78" s="50">
        <f t="shared" si="27"/>
        <v>0.30199999999999999</v>
      </c>
      <c r="BB78" s="6">
        <v>47.5</v>
      </c>
      <c r="BC78" s="47">
        <f t="shared" si="28"/>
        <v>0.64</v>
      </c>
      <c r="BD78" s="47"/>
      <c r="BE78" s="5"/>
      <c r="BF78" s="5"/>
      <c r="BG78" s="5"/>
    </row>
    <row r="79" spans="13:59" s="3" customFormat="1" x14ac:dyDescent="0.25"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39"/>
      <c r="AV79" s="6">
        <v>48</v>
      </c>
      <c r="AW79" s="37">
        <f t="shared" si="23"/>
        <v>45.449999999999996</v>
      </c>
      <c r="AX79" s="37">
        <f t="shared" si="25"/>
        <v>151.5</v>
      </c>
      <c r="AY79" s="37">
        <f t="shared" si="26"/>
        <v>136.35</v>
      </c>
      <c r="AZ79" s="6">
        <f t="shared" si="24"/>
        <v>45.42</v>
      </c>
      <c r="BA79" s="50">
        <f t="shared" si="27"/>
        <v>0.30299999999999999</v>
      </c>
      <c r="BB79" s="6">
        <v>48</v>
      </c>
      <c r="BC79" s="47">
        <f t="shared" si="28"/>
        <v>0.64</v>
      </c>
      <c r="BD79" s="47"/>
      <c r="BE79" s="5"/>
      <c r="BF79" s="5"/>
      <c r="BG79" s="5"/>
    </row>
    <row r="80" spans="13:59" s="3" customFormat="1" x14ac:dyDescent="0.25"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39"/>
      <c r="AV80" s="6">
        <v>48.5</v>
      </c>
      <c r="AW80" s="37">
        <f t="shared" si="23"/>
        <v>45.6</v>
      </c>
      <c r="AX80" s="37">
        <f t="shared" si="25"/>
        <v>152</v>
      </c>
      <c r="AY80" s="37">
        <f t="shared" si="26"/>
        <v>136.79999999999998</v>
      </c>
      <c r="AZ80" s="6">
        <f t="shared" si="24"/>
        <v>45.58</v>
      </c>
      <c r="BA80" s="50">
        <f t="shared" si="27"/>
        <v>0.30399999999999999</v>
      </c>
      <c r="BB80" s="6">
        <v>48.5</v>
      </c>
      <c r="BC80" s="47">
        <f t="shared" si="28"/>
        <v>0.64</v>
      </c>
      <c r="BD80" s="47"/>
      <c r="BE80" s="5"/>
      <c r="BF80" s="5"/>
      <c r="BG80" s="5"/>
    </row>
    <row r="81" spans="13:59" s="3" customFormat="1" x14ac:dyDescent="0.25"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39"/>
      <c r="AV81" s="6">
        <v>49</v>
      </c>
      <c r="AW81" s="37">
        <f t="shared" si="23"/>
        <v>45.75</v>
      </c>
      <c r="AX81" s="37">
        <f t="shared" si="25"/>
        <v>152.5</v>
      </c>
      <c r="AY81" s="37">
        <f t="shared" si="26"/>
        <v>137.25</v>
      </c>
      <c r="AZ81" s="6">
        <f t="shared" si="24"/>
        <v>45.75</v>
      </c>
      <c r="BA81" s="50">
        <f t="shared" si="27"/>
        <v>0.30499999999999999</v>
      </c>
      <c r="BB81" s="6">
        <v>49</v>
      </c>
      <c r="BC81" s="47">
        <f t="shared" si="28"/>
        <v>0.64</v>
      </c>
      <c r="BD81" s="47"/>
      <c r="BE81" s="5"/>
      <c r="BF81" s="5"/>
      <c r="BG81" s="5"/>
    </row>
    <row r="82" spans="13:59" s="3" customFormat="1" x14ac:dyDescent="0.25"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39"/>
      <c r="AV82" s="6">
        <v>49.5</v>
      </c>
      <c r="AW82" s="37">
        <f t="shared" si="23"/>
        <v>45.9</v>
      </c>
      <c r="AX82" s="37">
        <f t="shared" si="25"/>
        <v>153</v>
      </c>
      <c r="AY82" s="37">
        <f t="shared" si="26"/>
        <v>137.69999999999999</v>
      </c>
      <c r="AZ82" s="6">
        <f t="shared" si="24"/>
        <v>45.92</v>
      </c>
      <c r="BA82" s="50">
        <f t="shared" si="27"/>
        <v>0.30599999999999999</v>
      </c>
      <c r="BB82" s="6">
        <v>49.5</v>
      </c>
      <c r="BC82" s="47">
        <f t="shared" si="28"/>
        <v>0.64</v>
      </c>
      <c r="BD82" s="47"/>
      <c r="BE82" s="5"/>
      <c r="BF82" s="5"/>
      <c r="BG82" s="5"/>
    </row>
    <row r="83" spans="13:59" s="3" customFormat="1" x14ac:dyDescent="0.25"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39"/>
      <c r="AV83" s="6">
        <v>50</v>
      </c>
      <c r="AW83" s="37">
        <f t="shared" si="23"/>
        <v>46.05</v>
      </c>
      <c r="AX83" s="37">
        <f t="shared" si="25"/>
        <v>153.5</v>
      </c>
      <c r="AY83" s="37">
        <f t="shared" si="26"/>
        <v>138.15</v>
      </c>
      <c r="AZ83" s="6">
        <f t="shared" si="24"/>
        <v>46.1</v>
      </c>
      <c r="BA83" s="50">
        <f t="shared" si="27"/>
        <v>0.307</v>
      </c>
      <c r="BB83" s="6">
        <v>50</v>
      </c>
      <c r="BC83" s="47">
        <f t="shared" si="28"/>
        <v>0.64</v>
      </c>
      <c r="BD83" s="47"/>
      <c r="BE83" s="5"/>
      <c r="BF83" s="5"/>
      <c r="BG83" s="5"/>
    </row>
    <row r="84" spans="13:59" s="3" customFormat="1" x14ac:dyDescent="0.25"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39"/>
      <c r="AV84" s="6">
        <v>50.5</v>
      </c>
      <c r="AW84" s="37">
        <f t="shared" si="23"/>
        <v>46.2</v>
      </c>
      <c r="AX84" s="37">
        <f t="shared" si="25"/>
        <v>154</v>
      </c>
      <c r="AY84" s="37">
        <f t="shared" si="26"/>
        <v>138.6</v>
      </c>
      <c r="AZ84" s="6">
        <f t="shared" si="24"/>
        <v>46.27</v>
      </c>
      <c r="BA84" s="50">
        <f t="shared" si="27"/>
        <v>0.308</v>
      </c>
      <c r="BB84" s="6">
        <v>50.5</v>
      </c>
      <c r="BC84" s="47">
        <f t="shared" si="28"/>
        <v>0.64</v>
      </c>
      <c r="BD84" s="47"/>
      <c r="BE84" s="5"/>
      <c r="BF84" s="5"/>
      <c r="BG84" s="5"/>
    </row>
    <row r="85" spans="13:59" s="3" customFormat="1" x14ac:dyDescent="0.25"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39"/>
      <c r="AV85" s="6">
        <v>51</v>
      </c>
      <c r="AW85" s="37">
        <f t="shared" si="23"/>
        <v>46.5</v>
      </c>
      <c r="AX85" s="37">
        <f t="shared" si="25"/>
        <v>155</v>
      </c>
      <c r="AY85" s="37">
        <f t="shared" si="26"/>
        <v>139.5</v>
      </c>
      <c r="AZ85" s="6">
        <f t="shared" si="24"/>
        <v>46.45</v>
      </c>
      <c r="BA85" s="50">
        <f t="shared" si="27"/>
        <v>0.31</v>
      </c>
      <c r="BB85" s="6">
        <v>51</v>
      </c>
      <c r="BC85" s="47">
        <f t="shared" si="28"/>
        <v>0.64</v>
      </c>
      <c r="BD85" s="47"/>
      <c r="BE85" s="5"/>
      <c r="BF85" s="5"/>
      <c r="BG85" s="5"/>
    </row>
    <row r="86" spans="13:59" s="3" customFormat="1" x14ac:dyDescent="0.25"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39"/>
      <c r="AV86" s="6">
        <v>51.5</v>
      </c>
      <c r="AW86" s="37">
        <f t="shared" si="23"/>
        <v>46.65</v>
      </c>
      <c r="AX86" s="37">
        <f t="shared" si="25"/>
        <v>155.5</v>
      </c>
      <c r="AY86" s="37">
        <f t="shared" si="26"/>
        <v>139.94999999999999</v>
      </c>
      <c r="AZ86" s="6">
        <f t="shared" si="24"/>
        <v>46.62</v>
      </c>
      <c r="BA86" s="50">
        <f t="shared" si="27"/>
        <v>0.311</v>
      </c>
      <c r="BB86" s="6">
        <v>51.5</v>
      </c>
      <c r="BC86" s="47">
        <f t="shared" si="28"/>
        <v>0.65</v>
      </c>
      <c r="BD86" s="47"/>
      <c r="BE86" s="5"/>
      <c r="BF86" s="5"/>
      <c r="BG86" s="5"/>
    </row>
    <row r="87" spans="13:59" s="3" customFormat="1" x14ac:dyDescent="0.25"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39"/>
      <c r="AV87" s="6">
        <v>52</v>
      </c>
      <c r="AW87" s="37">
        <f t="shared" si="23"/>
        <v>46.8</v>
      </c>
      <c r="AX87" s="37">
        <f t="shared" si="25"/>
        <v>156</v>
      </c>
      <c r="AY87" s="37">
        <f t="shared" si="26"/>
        <v>140.4</v>
      </c>
      <c r="AZ87" s="6">
        <f t="shared" si="24"/>
        <v>46.8</v>
      </c>
      <c r="BA87" s="50">
        <f t="shared" si="27"/>
        <v>0.312</v>
      </c>
      <c r="BB87" s="6">
        <v>52</v>
      </c>
      <c r="BC87" s="47">
        <f t="shared" si="28"/>
        <v>0.65</v>
      </c>
      <c r="BD87" s="47"/>
      <c r="BE87" s="5"/>
      <c r="BF87" s="5"/>
      <c r="BG87" s="5"/>
    </row>
    <row r="88" spans="13:59" s="3" customFormat="1" x14ac:dyDescent="0.25"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39"/>
      <c r="AV88" s="6">
        <v>52.5</v>
      </c>
      <c r="AW88" s="37">
        <f t="shared" si="23"/>
        <v>46.95</v>
      </c>
      <c r="AX88" s="37">
        <f t="shared" si="25"/>
        <v>156.5</v>
      </c>
      <c r="AY88" s="37">
        <f t="shared" si="26"/>
        <v>140.85</v>
      </c>
      <c r="AZ88" s="6">
        <f t="shared" si="24"/>
        <v>46.98</v>
      </c>
      <c r="BA88" s="50">
        <f t="shared" si="27"/>
        <v>0.313</v>
      </c>
      <c r="BB88" s="6">
        <v>52.5</v>
      </c>
      <c r="BC88" s="47">
        <f t="shared" si="28"/>
        <v>0.65</v>
      </c>
      <c r="BD88" s="47"/>
      <c r="BE88" s="5"/>
      <c r="BF88" s="5"/>
      <c r="BG88" s="5"/>
    </row>
    <row r="89" spans="13:59" s="3" customFormat="1" x14ac:dyDescent="0.25"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39"/>
      <c r="AV89" s="6">
        <v>53</v>
      </c>
      <c r="AW89" s="37">
        <f t="shared" si="23"/>
        <v>47.1</v>
      </c>
      <c r="AX89" s="37">
        <f t="shared" si="25"/>
        <v>157</v>
      </c>
      <c r="AY89" s="37">
        <f t="shared" si="26"/>
        <v>141.30000000000001</v>
      </c>
      <c r="AZ89" s="6">
        <f t="shared" si="24"/>
        <v>47.17</v>
      </c>
      <c r="BA89" s="50">
        <f t="shared" si="27"/>
        <v>0.314</v>
      </c>
      <c r="BB89" s="6">
        <v>53</v>
      </c>
      <c r="BC89" s="47">
        <f t="shared" si="28"/>
        <v>0.65</v>
      </c>
      <c r="BD89" s="47"/>
      <c r="BE89" s="5"/>
      <c r="BF89" s="5"/>
      <c r="BG89" s="5"/>
    </row>
    <row r="90" spans="13:59" s="3" customFormat="1" x14ac:dyDescent="0.25"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39"/>
      <c r="AV90" s="6">
        <v>53.5</v>
      </c>
      <c r="AW90" s="37">
        <f t="shared" si="23"/>
        <v>47.4</v>
      </c>
      <c r="AX90" s="37">
        <f t="shared" si="25"/>
        <v>158</v>
      </c>
      <c r="AY90" s="37">
        <f t="shared" si="26"/>
        <v>142.19999999999999</v>
      </c>
      <c r="AZ90" s="6">
        <f t="shared" si="24"/>
        <v>47.35</v>
      </c>
      <c r="BA90" s="50">
        <f t="shared" si="27"/>
        <v>0.316</v>
      </c>
      <c r="BB90" s="6">
        <v>53.5</v>
      </c>
      <c r="BC90" s="47">
        <f t="shared" si="28"/>
        <v>0.65</v>
      </c>
      <c r="BD90" s="47"/>
      <c r="BE90" s="5"/>
      <c r="BF90" s="5"/>
      <c r="BG90" s="5"/>
    </row>
    <row r="91" spans="13:59" s="3" customFormat="1" x14ac:dyDescent="0.25"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39"/>
      <c r="AV91" s="6">
        <v>54</v>
      </c>
      <c r="AW91" s="37">
        <f t="shared" si="23"/>
        <v>47.55</v>
      </c>
      <c r="AX91" s="37">
        <f t="shared" si="25"/>
        <v>158.5</v>
      </c>
      <c r="AY91" s="37">
        <f t="shared" si="26"/>
        <v>142.65</v>
      </c>
      <c r="AZ91" s="6">
        <f t="shared" si="24"/>
        <v>47.54</v>
      </c>
      <c r="BA91" s="50">
        <f t="shared" si="27"/>
        <v>0.317</v>
      </c>
      <c r="BB91" s="6">
        <v>54</v>
      </c>
      <c r="BC91" s="47">
        <f t="shared" si="28"/>
        <v>0.65</v>
      </c>
      <c r="BD91" s="47"/>
      <c r="BE91" s="5"/>
      <c r="BF91" s="5"/>
      <c r="BG91" s="5"/>
    </row>
    <row r="92" spans="13:59" s="3" customFormat="1" x14ac:dyDescent="0.25"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39"/>
      <c r="AV92" s="6">
        <v>54.5</v>
      </c>
      <c r="AW92" s="37">
        <f t="shared" si="23"/>
        <v>47.7</v>
      </c>
      <c r="AX92" s="37">
        <f t="shared" si="25"/>
        <v>159</v>
      </c>
      <c r="AY92" s="37">
        <f t="shared" si="26"/>
        <v>143.1</v>
      </c>
      <c r="AZ92" s="6">
        <f t="shared" si="24"/>
        <v>47.73</v>
      </c>
      <c r="BA92" s="50">
        <f t="shared" si="27"/>
        <v>0.318</v>
      </c>
      <c r="BB92" s="6">
        <v>54.5</v>
      </c>
      <c r="BC92" s="47">
        <f t="shared" si="28"/>
        <v>0.65</v>
      </c>
      <c r="BD92" s="47"/>
      <c r="BE92" s="5"/>
      <c r="BF92" s="5"/>
      <c r="BG92" s="5"/>
    </row>
    <row r="93" spans="13:59" s="3" customFormat="1" x14ac:dyDescent="0.25"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39"/>
      <c r="AV93" s="6">
        <v>55</v>
      </c>
      <c r="AW93" s="37">
        <f t="shared" si="23"/>
        <v>47.85</v>
      </c>
      <c r="AX93" s="37">
        <f t="shared" si="25"/>
        <v>159.5</v>
      </c>
      <c r="AY93" s="37">
        <f t="shared" si="26"/>
        <v>143.55000000000001</v>
      </c>
      <c r="AZ93" s="6">
        <f t="shared" si="24"/>
        <v>47.92</v>
      </c>
      <c r="BA93" s="50">
        <f t="shared" si="27"/>
        <v>0.31900000000000001</v>
      </c>
      <c r="BB93" s="6">
        <v>55</v>
      </c>
      <c r="BC93" s="47">
        <f t="shared" si="28"/>
        <v>0.65</v>
      </c>
      <c r="BD93" s="47"/>
      <c r="BE93" s="5"/>
      <c r="BF93" s="5"/>
      <c r="BG93" s="5"/>
    </row>
    <row r="94" spans="13:59" s="3" customFormat="1" x14ac:dyDescent="0.25"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39"/>
      <c r="AV94" s="6">
        <v>55.5</v>
      </c>
      <c r="AW94" s="37">
        <f t="shared" si="23"/>
        <v>48.15</v>
      </c>
      <c r="AX94" s="37">
        <f t="shared" si="25"/>
        <v>160.5</v>
      </c>
      <c r="AY94" s="37">
        <f t="shared" si="26"/>
        <v>144.45000000000002</v>
      </c>
      <c r="AZ94" s="6">
        <f t="shared" si="24"/>
        <v>48.12</v>
      </c>
      <c r="BA94" s="50">
        <f t="shared" si="27"/>
        <v>0.32100000000000001</v>
      </c>
      <c r="BB94" s="6">
        <v>55.5</v>
      </c>
      <c r="BC94" s="47">
        <f t="shared" si="28"/>
        <v>0.66</v>
      </c>
      <c r="BD94" s="47"/>
      <c r="BE94" s="5"/>
      <c r="BF94" s="5"/>
      <c r="BG94" s="5"/>
    </row>
    <row r="95" spans="13:59" s="3" customFormat="1" x14ac:dyDescent="0.25"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39"/>
      <c r="AV95" s="6">
        <v>56</v>
      </c>
      <c r="AW95" s="37">
        <f t="shared" si="23"/>
        <v>48.300000000000004</v>
      </c>
      <c r="AX95" s="37">
        <f t="shared" si="25"/>
        <v>161</v>
      </c>
      <c r="AY95" s="37">
        <f t="shared" si="26"/>
        <v>144.9</v>
      </c>
      <c r="AZ95" s="6">
        <f t="shared" si="24"/>
        <v>48.32</v>
      </c>
      <c r="BA95" s="50">
        <f t="shared" si="27"/>
        <v>0.32200000000000001</v>
      </c>
      <c r="BB95" s="6">
        <v>56</v>
      </c>
      <c r="BC95" s="47">
        <f t="shared" si="28"/>
        <v>0.66</v>
      </c>
      <c r="BD95" s="47"/>
      <c r="BE95" s="5"/>
      <c r="BF95" s="5"/>
      <c r="BG95" s="5"/>
    </row>
    <row r="96" spans="13:59" s="3" customFormat="1" x14ac:dyDescent="0.25"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39"/>
      <c r="AV96" s="6">
        <v>56.5</v>
      </c>
      <c r="AW96" s="37">
        <f t="shared" si="23"/>
        <v>48.45</v>
      </c>
      <c r="AX96" s="37">
        <f t="shared" si="25"/>
        <v>161.5</v>
      </c>
      <c r="AY96" s="37">
        <f t="shared" si="26"/>
        <v>145.35</v>
      </c>
      <c r="AZ96" s="6">
        <f t="shared" si="24"/>
        <v>48.52</v>
      </c>
      <c r="BA96" s="50">
        <f t="shared" si="27"/>
        <v>0.32300000000000001</v>
      </c>
      <c r="BB96" s="6">
        <v>56.5</v>
      </c>
      <c r="BC96" s="47">
        <f t="shared" si="28"/>
        <v>0.66</v>
      </c>
      <c r="BD96" s="47"/>
      <c r="BE96" s="5"/>
      <c r="BF96" s="5"/>
      <c r="BG96" s="5"/>
    </row>
    <row r="97" spans="12:59" s="3" customFormat="1" x14ac:dyDescent="0.25"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39"/>
      <c r="AV97" s="6">
        <v>57</v>
      </c>
      <c r="AW97" s="37">
        <f t="shared" si="23"/>
        <v>48.75</v>
      </c>
      <c r="AX97" s="37">
        <f t="shared" si="25"/>
        <v>162.5</v>
      </c>
      <c r="AY97" s="37">
        <f t="shared" si="26"/>
        <v>146.25</v>
      </c>
      <c r="AZ97" s="6">
        <f t="shared" si="24"/>
        <v>48.72</v>
      </c>
      <c r="BA97" s="50">
        <f t="shared" si="27"/>
        <v>0.32500000000000001</v>
      </c>
      <c r="BB97" s="6">
        <v>57</v>
      </c>
      <c r="BC97" s="47">
        <f t="shared" si="28"/>
        <v>0.66</v>
      </c>
      <c r="BD97" s="47"/>
      <c r="BE97" s="5"/>
      <c r="BF97" s="5"/>
      <c r="BG97" s="5"/>
    </row>
    <row r="98" spans="12:59" s="3" customFormat="1" x14ac:dyDescent="0.25"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39"/>
      <c r="AV98" s="6">
        <v>57.5</v>
      </c>
      <c r="AW98" s="37">
        <f t="shared" si="23"/>
        <v>48.9</v>
      </c>
      <c r="AX98" s="37">
        <f t="shared" si="25"/>
        <v>163</v>
      </c>
      <c r="AY98" s="37">
        <f t="shared" si="26"/>
        <v>146.70000000000002</v>
      </c>
      <c r="AZ98" s="6">
        <f t="shared" si="24"/>
        <v>48.93</v>
      </c>
      <c r="BA98" s="50">
        <f t="shared" si="27"/>
        <v>0.32600000000000001</v>
      </c>
      <c r="BB98" s="6">
        <v>57.5</v>
      </c>
      <c r="BC98" s="47">
        <f t="shared" si="28"/>
        <v>0.66</v>
      </c>
      <c r="BD98" s="47"/>
      <c r="BE98" s="5"/>
      <c r="BF98" s="5"/>
      <c r="BG98" s="5"/>
    </row>
    <row r="99" spans="12:59" s="3" customFormat="1" x14ac:dyDescent="0.25"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39"/>
      <c r="AV99" s="6">
        <v>58</v>
      </c>
      <c r="AW99" s="37">
        <f t="shared" ref="AW99:AW123" si="29">($AW$1)*BA99</f>
        <v>49.2</v>
      </c>
      <c r="AX99" s="37">
        <f t="shared" si="25"/>
        <v>164</v>
      </c>
      <c r="AY99" s="37">
        <f t="shared" si="26"/>
        <v>147.6</v>
      </c>
      <c r="AZ99" s="6">
        <f t="shared" ref="AZ99:AZ123" si="30">ROUND((0.000179*POWER(AV99,3))-(0.0239*(AV99*AV99))+(1.3934*AV99)+13.802,2)</f>
        <v>49.14</v>
      </c>
      <c r="BA99" s="50">
        <f t="shared" si="27"/>
        <v>0.32800000000000001</v>
      </c>
      <c r="BB99" s="6">
        <v>58</v>
      </c>
      <c r="BC99" s="47">
        <f t="shared" si="28"/>
        <v>0.67</v>
      </c>
      <c r="BD99" s="47"/>
      <c r="BE99" s="5"/>
      <c r="BF99" s="5"/>
      <c r="BG99" s="5"/>
    </row>
    <row r="100" spans="12:59" s="3" customFormat="1" x14ac:dyDescent="0.25"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39"/>
      <c r="AV100" s="6">
        <v>58.5</v>
      </c>
      <c r="AW100" s="37">
        <f t="shared" si="29"/>
        <v>49.35</v>
      </c>
      <c r="AX100" s="37">
        <f t="shared" ref="AX100:AX123" si="31">($AX$1)*BA100</f>
        <v>164.5</v>
      </c>
      <c r="AY100" s="37">
        <f t="shared" ref="AY100:AY123" si="32">AY$1*$BA100</f>
        <v>148.05000000000001</v>
      </c>
      <c r="AZ100" s="6">
        <f t="shared" si="30"/>
        <v>49.36</v>
      </c>
      <c r="BA100" s="50">
        <f t="shared" si="27"/>
        <v>0.32900000000000001</v>
      </c>
      <c r="BB100" s="6">
        <v>58.5</v>
      </c>
      <c r="BC100" s="47">
        <f t="shared" si="28"/>
        <v>0.67</v>
      </c>
      <c r="BD100" s="47"/>
      <c r="BE100" s="5"/>
      <c r="BF100" s="5"/>
      <c r="BG100" s="5"/>
    </row>
    <row r="101" spans="12:59" s="3" customFormat="1" x14ac:dyDescent="0.25"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39"/>
      <c r="AV101" s="6">
        <v>59</v>
      </c>
      <c r="AW101" s="37">
        <f t="shared" si="29"/>
        <v>49.650000000000006</v>
      </c>
      <c r="AX101" s="37">
        <f t="shared" si="31"/>
        <v>165.5</v>
      </c>
      <c r="AY101" s="37">
        <f t="shared" si="32"/>
        <v>148.95000000000002</v>
      </c>
      <c r="AZ101" s="6">
        <f t="shared" si="30"/>
        <v>49.58</v>
      </c>
      <c r="BA101" s="50">
        <f t="shared" si="27"/>
        <v>0.33100000000000002</v>
      </c>
      <c r="BB101" s="6">
        <v>59</v>
      </c>
      <c r="BC101" s="47">
        <f t="shared" si="28"/>
        <v>0.67</v>
      </c>
      <c r="BD101" s="47"/>
      <c r="BE101" s="5"/>
      <c r="BF101" s="5"/>
      <c r="BG101" s="5"/>
    </row>
    <row r="102" spans="12:59" s="3" customFormat="1" x14ac:dyDescent="0.25"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39"/>
      <c r="AV102" s="6">
        <v>59.5</v>
      </c>
      <c r="AW102" s="37">
        <f t="shared" si="29"/>
        <v>49.800000000000004</v>
      </c>
      <c r="AX102" s="37">
        <f t="shared" si="31"/>
        <v>166</v>
      </c>
      <c r="AY102" s="37">
        <f t="shared" si="32"/>
        <v>149.4</v>
      </c>
      <c r="AZ102" s="6">
        <f t="shared" si="30"/>
        <v>49.8</v>
      </c>
      <c r="BA102" s="50">
        <f t="shared" si="27"/>
        <v>0.33200000000000002</v>
      </c>
      <c r="BB102" s="6">
        <v>59.5</v>
      </c>
      <c r="BC102" s="47">
        <f t="shared" si="28"/>
        <v>0.67</v>
      </c>
      <c r="BD102" s="47"/>
      <c r="BE102" s="5"/>
      <c r="BF102" s="5"/>
      <c r="BG102" s="5"/>
    </row>
    <row r="103" spans="12:59" s="3" customFormat="1" x14ac:dyDescent="0.25"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39"/>
      <c r="AV103" s="48">
        <v>60</v>
      </c>
      <c r="AW103" s="49">
        <f t="shared" si="29"/>
        <v>50.1</v>
      </c>
      <c r="AX103" s="49">
        <f t="shared" si="31"/>
        <v>167</v>
      </c>
      <c r="AY103" s="49">
        <f t="shared" si="32"/>
        <v>150.30000000000001</v>
      </c>
      <c r="AZ103" s="48">
        <f t="shared" si="30"/>
        <v>50.03</v>
      </c>
      <c r="BA103" s="50">
        <f t="shared" si="27"/>
        <v>0.33400000000000002</v>
      </c>
      <c r="BB103" s="48">
        <v>60</v>
      </c>
      <c r="BC103" s="47">
        <f t="shared" si="28"/>
        <v>0.68</v>
      </c>
      <c r="BD103" s="47"/>
      <c r="BE103" s="5"/>
      <c r="BF103" s="5"/>
      <c r="BG103" s="5"/>
    </row>
    <row r="104" spans="12:59" s="3" customFormat="1" x14ac:dyDescent="0.25"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39"/>
      <c r="AV104" s="6">
        <v>60.5</v>
      </c>
      <c r="AW104" s="37">
        <f t="shared" si="29"/>
        <v>50.25</v>
      </c>
      <c r="AX104" s="37">
        <f t="shared" si="31"/>
        <v>167.5</v>
      </c>
      <c r="AY104" s="37">
        <f t="shared" si="32"/>
        <v>150.75</v>
      </c>
      <c r="AZ104" s="6">
        <f t="shared" si="30"/>
        <v>50.26</v>
      </c>
      <c r="BA104" s="50">
        <f t="shared" si="27"/>
        <v>0.33500000000000002</v>
      </c>
      <c r="BB104" s="6">
        <v>60.5</v>
      </c>
      <c r="BC104" s="47">
        <f t="shared" si="28"/>
        <v>0.68</v>
      </c>
      <c r="BD104" s="47"/>
      <c r="BE104" s="5"/>
      <c r="BF104" s="5"/>
      <c r="BG104" s="5"/>
    </row>
    <row r="105" spans="12:59" s="3" customFormat="1" x14ac:dyDescent="0.25"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39"/>
      <c r="AV105" s="6">
        <v>61</v>
      </c>
      <c r="AW105" s="37">
        <f t="shared" si="29"/>
        <v>50.550000000000004</v>
      </c>
      <c r="AX105" s="37">
        <f t="shared" si="31"/>
        <v>168.5</v>
      </c>
      <c r="AY105" s="37">
        <f t="shared" si="32"/>
        <v>151.65</v>
      </c>
      <c r="AZ105" s="6">
        <f t="shared" si="30"/>
        <v>50.5</v>
      </c>
      <c r="BA105" s="50">
        <f t="shared" si="27"/>
        <v>0.33700000000000002</v>
      </c>
      <c r="BB105" s="6">
        <v>61</v>
      </c>
      <c r="BC105" s="47">
        <f t="shared" si="28"/>
        <v>0.68</v>
      </c>
      <c r="BD105" s="47"/>
      <c r="BE105" s="5"/>
      <c r="BF105" s="5"/>
      <c r="BG105" s="5"/>
    </row>
    <row r="106" spans="12:59" s="3" customFormat="1" x14ac:dyDescent="0.25">
      <c r="M106" s="8"/>
      <c r="N106" s="8"/>
      <c r="O106" s="8"/>
      <c r="P106" s="8"/>
      <c r="Q106" s="12"/>
      <c r="R106" s="12"/>
      <c r="S106" s="12"/>
      <c r="T106" s="8"/>
      <c r="U106" s="8"/>
      <c r="V106" s="8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39"/>
      <c r="AV106" s="6">
        <v>61.5</v>
      </c>
      <c r="AW106" s="37">
        <f t="shared" si="29"/>
        <v>50.7</v>
      </c>
      <c r="AX106" s="37">
        <f t="shared" si="31"/>
        <v>169</v>
      </c>
      <c r="AY106" s="37">
        <f t="shared" si="32"/>
        <v>152.10000000000002</v>
      </c>
      <c r="AZ106" s="6">
        <f t="shared" si="30"/>
        <v>50.74</v>
      </c>
      <c r="BA106" s="50">
        <f t="shared" si="27"/>
        <v>0.33800000000000002</v>
      </c>
      <c r="BB106" s="6">
        <v>61.5</v>
      </c>
      <c r="BC106" s="47">
        <f t="shared" si="28"/>
        <v>0.68</v>
      </c>
      <c r="BD106" s="47"/>
      <c r="BE106" s="5"/>
      <c r="BF106" s="5"/>
      <c r="BG106" s="5"/>
    </row>
    <row r="107" spans="12:59" s="3" customFormat="1" x14ac:dyDescent="0.25">
      <c r="L107"/>
      <c r="M107" s="8"/>
      <c r="N107" s="8"/>
      <c r="O107" s="8"/>
      <c r="P107" s="8"/>
      <c r="Q107" s="8"/>
      <c r="R107" s="8"/>
      <c r="S107" s="12"/>
      <c r="T107" s="8"/>
      <c r="U107" s="8"/>
      <c r="V107" s="8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39"/>
      <c r="AV107" s="6">
        <v>62</v>
      </c>
      <c r="AW107" s="37">
        <f t="shared" si="29"/>
        <v>51.000000000000007</v>
      </c>
      <c r="AX107" s="37">
        <f t="shared" si="31"/>
        <v>170</v>
      </c>
      <c r="AY107" s="37">
        <f t="shared" si="32"/>
        <v>153</v>
      </c>
      <c r="AZ107" s="6">
        <f t="shared" si="30"/>
        <v>50.98</v>
      </c>
      <c r="BA107" s="50">
        <f t="shared" si="27"/>
        <v>0.34</v>
      </c>
      <c r="BB107" s="6">
        <v>62</v>
      </c>
      <c r="BC107" s="47">
        <f t="shared" si="28"/>
        <v>0.69</v>
      </c>
      <c r="BD107" s="47"/>
      <c r="BE107" s="5"/>
      <c r="BF107" s="5"/>
      <c r="BG107" s="5"/>
    </row>
    <row r="108" spans="12:59" x14ac:dyDescent="0.25">
      <c r="AU108" s="39"/>
      <c r="AV108" s="6">
        <v>62.5</v>
      </c>
      <c r="AW108" s="37">
        <f t="shared" si="29"/>
        <v>51.300000000000004</v>
      </c>
      <c r="AX108" s="37">
        <f t="shared" si="31"/>
        <v>171</v>
      </c>
      <c r="AY108" s="37">
        <f t="shared" si="32"/>
        <v>153.9</v>
      </c>
      <c r="AZ108" s="6">
        <f t="shared" si="30"/>
        <v>51.23</v>
      </c>
      <c r="BA108" s="50">
        <f t="shared" si="27"/>
        <v>0.34200000000000003</v>
      </c>
      <c r="BB108" s="6">
        <v>62.5</v>
      </c>
      <c r="BC108" s="47">
        <f t="shared" si="28"/>
        <v>0.69</v>
      </c>
      <c r="BD108" s="47"/>
    </row>
    <row r="109" spans="12:59" x14ac:dyDescent="0.25">
      <c r="AU109" s="39"/>
      <c r="AV109" s="6">
        <v>63</v>
      </c>
      <c r="AW109" s="37">
        <f t="shared" si="29"/>
        <v>51.45</v>
      </c>
      <c r="AX109" s="37">
        <f t="shared" si="31"/>
        <v>171.5</v>
      </c>
      <c r="AY109" s="37">
        <f t="shared" si="32"/>
        <v>154.35000000000002</v>
      </c>
      <c r="AZ109" s="6">
        <f t="shared" si="30"/>
        <v>51.49</v>
      </c>
      <c r="BA109" s="50">
        <f t="shared" si="27"/>
        <v>0.34300000000000003</v>
      </c>
      <c r="BB109" s="6">
        <v>63</v>
      </c>
      <c r="BC109" s="47">
        <f t="shared" si="28"/>
        <v>0.7</v>
      </c>
      <c r="BD109" s="47"/>
    </row>
    <row r="110" spans="12:59" x14ac:dyDescent="0.25">
      <c r="AU110" s="39"/>
      <c r="AV110" s="6">
        <v>63.5</v>
      </c>
      <c r="AW110" s="37">
        <f t="shared" si="29"/>
        <v>51.749999999999993</v>
      </c>
      <c r="AX110" s="37">
        <f t="shared" si="31"/>
        <v>172.5</v>
      </c>
      <c r="AY110" s="37">
        <f t="shared" si="32"/>
        <v>155.25</v>
      </c>
      <c r="AZ110" s="6">
        <f t="shared" si="30"/>
        <v>51.74</v>
      </c>
      <c r="BA110" s="50">
        <f t="shared" si="27"/>
        <v>0.34499999999999997</v>
      </c>
      <c r="BB110" s="6">
        <v>63.5</v>
      </c>
      <c r="BC110" s="47">
        <f t="shared" si="28"/>
        <v>0.7</v>
      </c>
      <c r="BD110" s="47"/>
    </row>
    <row r="111" spans="12:59" x14ac:dyDescent="0.25">
      <c r="AU111" s="39"/>
      <c r="AV111" s="6">
        <v>64</v>
      </c>
      <c r="AW111" s="37">
        <f t="shared" si="29"/>
        <v>52.05</v>
      </c>
      <c r="AX111" s="37">
        <f t="shared" si="31"/>
        <v>173.5</v>
      </c>
      <c r="AY111" s="37">
        <f t="shared" si="32"/>
        <v>156.14999999999998</v>
      </c>
      <c r="AZ111" s="6">
        <f t="shared" si="30"/>
        <v>52.01</v>
      </c>
      <c r="BA111" s="50">
        <f t="shared" si="27"/>
        <v>0.34699999999999998</v>
      </c>
      <c r="BB111" s="6">
        <v>64</v>
      </c>
      <c r="BC111" s="47">
        <f t="shared" si="28"/>
        <v>0.7</v>
      </c>
      <c r="BD111" s="47"/>
    </row>
    <row r="112" spans="12:59" x14ac:dyDescent="0.25">
      <c r="AU112" s="39"/>
      <c r="AV112" s="6">
        <v>64.5</v>
      </c>
      <c r="AW112" s="37">
        <f t="shared" si="29"/>
        <v>52.349999999999994</v>
      </c>
      <c r="AX112" s="37">
        <f t="shared" si="31"/>
        <v>174.5</v>
      </c>
      <c r="AY112" s="37">
        <f t="shared" si="32"/>
        <v>157.04999999999998</v>
      </c>
      <c r="AZ112" s="6">
        <f t="shared" si="30"/>
        <v>52.28</v>
      </c>
      <c r="BA112" s="50">
        <f t="shared" si="27"/>
        <v>0.34899999999999998</v>
      </c>
      <c r="BB112" s="6">
        <v>64.5</v>
      </c>
      <c r="BC112" s="47">
        <f t="shared" si="28"/>
        <v>0.71</v>
      </c>
      <c r="BD112" s="47"/>
    </row>
    <row r="113" spans="47:56" x14ac:dyDescent="0.25">
      <c r="AU113" s="39"/>
      <c r="AV113" s="6">
        <v>65</v>
      </c>
      <c r="AW113" s="37">
        <f t="shared" si="29"/>
        <v>52.5</v>
      </c>
      <c r="AX113" s="37">
        <f t="shared" si="31"/>
        <v>175</v>
      </c>
      <c r="AY113" s="37">
        <f t="shared" si="32"/>
        <v>157.5</v>
      </c>
      <c r="AZ113" s="6">
        <f t="shared" si="30"/>
        <v>52.55</v>
      </c>
      <c r="BA113" s="50">
        <f t="shared" si="27"/>
        <v>0.35</v>
      </c>
      <c r="BB113" s="6">
        <v>65</v>
      </c>
      <c r="BC113" s="47">
        <f t="shared" si="28"/>
        <v>0.71</v>
      </c>
      <c r="BD113" s="47"/>
    </row>
    <row r="114" spans="47:56" x14ac:dyDescent="0.25">
      <c r="AU114" s="39"/>
      <c r="AV114" s="6">
        <v>65.5</v>
      </c>
      <c r="AW114" s="37">
        <f t="shared" si="29"/>
        <v>52.8</v>
      </c>
      <c r="AX114" s="37">
        <f t="shared" si="31"/>
        <v>176</v>
      </c>
      <c r="AY114" s="37">
        <f t="shared" si="32"/>
        <v>158.39999999999998</v>
      </c>
      <c r="AZ114" s="6">
        <f t="shared" si="30"/>
        <v>52.83</v>
      </c>
      <c r="BA114" s="50">
        <f t="shared" si="27"/>
        <v>0.35199999999999998</v>
      </c>
      <c r="BB114" s="6">
        <v>65.5</v>
      </c>
      <c r="BC114" s="47">
        <f t="shared" si="28"/>
        <v>0.72</v>
      </c>
      <c r="BD114" s="47"/>
    </row>
    <row r="115" spans="47:56" x14ac:dyDescent="0.25">
      <c r="AU115" s="39"/>
      <c r="AV115" s="6">
        <v>66</v>
      </c>
      <c r="AW115" s="37">
        <f t="shared" si="29"/>
        <v>53.099999999999994</v>
      </c>
      <c r="AX115" s="37">
        <f t="shared" si="31"/>
        <v>177</v>
      </c>
      <c r="AY115" s="37">
        <f t="shared" si="32"/>
        <v>159.29999999999998</v>
      </c>
      <c r="AZ115" s="6">
        <f t="shared" si="30"/>
        <v>53.12</v>
      </c>
      <c r="BA115" s="50">
        <f t="shared" si="27"/>
        <v>0.35399999999999998</v>
      </c>
      <c r="BB115" s="6">
        <v>66</v>
      </c>
      <c r="BC115" s="47">
        <f t="shared" si="28"/>
        <v>0.72</v>
      </c>
      <c r="BD115" s="47"/>
    </row>
    <row r="116" spans="47:56" x14ac:dyDescent="0.25">
      <c r="AU116" s="39"/>
      <c r="AV116" s="6">
        <v>66.5</v>
      </c>
      <c r="AW116" s="37">
        <f t="shared" si="29"/>
        <v>53.4</v>
      </c>
      <c r="AX116" s="37">
        <f t="shared" si="31"/>
        <v>178</v>
      </c>
      <c r="AY116" s="37">
        <f t="shared" si="32"/>
        <v>160.19999999999999</v>
      </c>
      <c r="AZ116" s="6">
        <f t="shared" si="30"/>
        <v>53.41</v>
      </c>
      <c r="BA116" s="50">
        <f t="shared" si="27"/>
        <v>0.35599999999999998</v>
      </c>
      <c r="BB116" s="6">
        <v>66.5</v>
      </c>
      <c r="BC116" s="47">
        <f t="shared" si="28"/>
        <v>0.73</v>
      </c>
      <c r="BD116" s="47"/>
    </row>
    <row r="117" spans="47:56" x14ac:dyDescent="0.25">
      <c r="AU117" s="39"/>
      <c r="AV117" s="6">
        <v>67</v>
      </c>
      <c r="AW117" s="37">
        <f t="shared" si="29"/>
        <v>53.699999999999996</v>
      </c>
      <c r="AX117" s="37">
        <f t="shared" si="31"/>
        <v>179</v>
      </c>
      <c r="AY117" s="37">
        <f t="shared" si="32"/>
        <v>161.1</v>
      </c>
      <c r="AZ117" s="6">
        <f t="shared" si="30"/>
        <v>53.71</v>
      </c>
      <c r="BA117" s="50">
        <f t="shared" si="27"/>
        <v>0.35799999999999998</v>
      </c>
      <c r="BB117" s="6">
        <v>67</v>
      </c>
      <c r="BC117" s="47">
        <f t="shared" si="28"/>
        <v>0.73</v>
      </c>
      <c r="BD117" s="47"/>
    </row>
    <row r="118" spans="47:56" x14ac:dyDescent="0.25">
      <c r="AU118" s="39"/>
      <c r="AV118" s="6">
        <v>67.5</v>
      </c>
      <c r="AW118" s="37">
        <f t="shared" si="29"/>
        <v>54</v>
      </c>
      <c r="AX118" s="37">
        <f t="shared" si="31"/>
        <v>180</v>
      </c>
      <c r="AY118" s="37">
        <f t="shared" si="32"/>
        <v>162</v>
      </c>
      <c r="AZ118" s="6">
        <f t="shared" si="30"/>
        <v>54.01</v>
      </c>
      <c r="BA118" s="50">
        <f t="shared" si="27"/>
        <v>0.36</v>
      </c>
      <c r="BB118" s="6">
        <v>67.5</v>
      </c>
      <c r="BC118" s="47">
        <f t="shared" si="28"/>
        <v>0.74</v>
      </c>
      <c r="BD118" s="47"/>
    </row>
    <row r="119" spans="47:56" x14ac:dyDescent="0.25">
      <c r="AU119" s="39"/>
      <c r="AV119" s="6">
        <v>68</v>
      </c>
      <c r="AW119" s="37">
        <f t="shared" si="29"/>
        <v>54.3</v>
      </c>
      <c r="AX119" s="37">
        <f t="shared" si="31"/>
        <v>181</v>
      </c>
      <c r="AY119" s="37">
        <f t="shared" si="32"/>
        <v>162.9</v>
      </c>
      <c r="AZ119" s="6">
        <f t="shared" si="30"/>
        <v>54.32</v>
      </c>
      <c r="BA119" s="50">
        <f t="shared" si="27"/>
        <v>0.36199999999999999</v>
      </c>
      <c r="BB119" s="6">
        <v>68</v>
      </c>
      <c r="BC119" s="47">
        <f t="shared" si="28"/>
        <v>0.74</v>
      </c>
      <c r="BD119" s="47"/>
    </row>
    <row r="120" spans="47:56" x14ac:dyDescent="0.25">
      <c r="AU120" s="39"/>
      <c r="AV120" s="6">
        <v>68.5</v>
      </c>
      <c r="AW120" s="37">
        <f t="shared" si="29"/>
        <v>54.6</v>
      </c>
      <c r="AX120" s="37">
        <f t="shared" si="31"/>
        <v>182</v>
      </c>
      <c r="AY120" s="37">
        <f t="shared" si="32"/>
        <v>163.79999999999998</v>
      </c>
      <c r="AZ120" s="6">
        <f t="shared" si="30"/>
        <v>54.64</v>
      </c>
      <c r="BA120" s="50">
        <f t="shared" si="27"/>
        <v>0.36399999999999999</v>
      </c>
      <c r="BB120" s="6">
        <v>68.5</v>
      </c>
      <c r="BC120" s="47">
        <f t="shared" si="28"/>
        <v>0.75</v>
      </c>
      <c r="BD120" s="47"/>
    </row>
    <row r="121" spans="47:56" x14ac:dyDescent="0.25">
      <c r="AU121" s="39"/>
      <c r="AV121" s="6">
        <v>69</v>
      </c>
      <c r="AW121" s="37">
        <f t="shared" si="29"/>
        <v>54.9</v>
      </c>
      <c r="AX121" s="37">
        <f t="shared" si="31"/>
        <v>183</v>
      </c>
      <c r="AY121" s="37">
        <f t="shared" si="32"/>
        <v>164.7</v>
      </c>
      <c r="AZ121" s="6">
        <f t="shared" si="30"/>
        <v>54.96</v>
      </c>
      <c r="BA121" s="50">
        <f t="shared" si="27"/>
        <v>0.36599999999999999</v>
      </c>
      <c r="BB121" s="6">
        <v>69</v>
      </c>
      <c r="BC121" s="47">
        <f t="shared" si="28"/>
        <v>0.76</v>
      </c>
      <c r="BD121" s="47"/>
    </row>
    <row r="122" spans="47:56" x14ac:dyDescent="0.25">
      <c r="AU122" s="39"/>
      <c r="AV122" s="6">
        <v>69.5</v>
      </c>
      <c r="AW122" s="37">
        <f t="shared" si="29"/>
        <v>55.35</v>
      </c>
      <c r="AX122" s="37">
        <f t="shared" si="31"/>
        <v>184.5</v>
      </c>
      <c r="AY122" s="37">
        <f t="shared" si="32"/>
        <v>166.05</v>
      </c>
      <c r="AZ122" s="6">
        <f t="shared" si="30"/>
        <v>55.29</v>
      </c>
      <c r="BA122" s="50">
        <f t="shared" si="27"/>
        <v>0.36899999999999999</v>
      </c>
      <c r="BB122" s="6">
        <v>69.5</v>
      </c>
      <c r="BC122" s="47">
        <f t="shared" si="28"/>
        <v>0.76</v>
      </c>
      <c r="BD122" s="47"/>
    </row>
    <row r="123" spans="47:56" x14ac:dyDescent="0.25">
      <c r="AU123" s="39"/>
      <c r="AV123" s="6">
        <v>70</v>
      </c>
      <c r="AW123" s="37">
        <f t="shared" si="29"/>
        <v>55.65</v>
      </c>
      <c r="AX123" s="37">
        <f t="shared" si="31"/>
        <v>185.5</v>
      </c>
      <c r="AY123" s="37">
        <f t="shared" si="32"/>
        <v>166.95</v>
      </c>
      <c r="AZ123" s="6">
        <f t="shared" si="30"/>
        <v>55.63</v>
      </c>
      <c r="BA123" s="50">
        <f t="shared" si="27"/>
        <v>0.371</v>
      </c>
      <c r="BB123" s="6">
        <v>70</v>
      </c>
      <c r="BC123" s="47">
        <f t="shared" si="28"/>
        <v>0.77</v>
      </c>
      <c r="BD123" s="47"/>
    </row>
  </sheetData>
  <sheetProtection password="CCE2" sheet="1" objects="1" scenarios="1"/>
  <customSheetViews>
    <customSheetView guid="{D742600D-D7D6-4AD5-ABD5-876A4BE74A8D}" showGridLines="0">
      <pane xSplit="22" ySplit="22" topLeftCell="W23" activePane="bottomRight" state="frozen"/>
      <selection pane="bottomRight" activeCell="L19" sqref="L19:R19"/>
      <pageMargins left="0.7" right="0.7" top="0.75" bottom="0.75" header="0.3" footer="0.3"/>
      <pageSetup paperSize="9" orientation="portrait" r:id="rId1"/>
    </customSheetView>
  </customSheetViews>
  <mergeCells count="12">
    <mergeCell ref="L3:N3"/>
    <mergeCell ref="O2:O3"/>
    <mergeCell ref="P2:P3"/>
    <mergeCell ref="L15:R15"/>
    <mergeCell ref="L19:R19"/>
    <mergeCell ref="L13:L14"/>
    <mergeCell ref="M13:M14"/>
    <mergeCell ref="N13:N14"/>
    <mergeCell ref="O13:O14"/>
    <mergeCell ref="P13:P14"/>
    <mergeCell ref="Q13:Q14"/>
    <mergeCell ref="R13:R14"/>
  </mergeCells>
  <conditionalFormatting sqref="N6">
    <cfRule type="expression" dxfId="22" priority="49">
      <formula>$O$6=10</formula>
    </cfRule>
  </conditionalFormatting>
  <conditionalFormatting sqref="P18">
    <cfRule type="cellIs" dxfId="21" priority="48" operator="equal">
      <formula>10</formula>
    </cfRule>
  </conditionalFormatting>
  <conditionalFormatting sqref="N7">
    <cfRule type="expression" dxfId="20" priority="32">
      <formula>$O$7=10</formula>
    </cfRule>
  </conditionalFormatting>
  <conditionalFormatting sqref="N8">
    <cfRule type="expression" dxfId="19" priority="31">
      <formula>$O$8=10</formula>
    </cfRule>
  </conditionalFormatting>
  <conditionalFormatting sqref="N9">
    <cfRule type="expression" dxfId="18" priority="30">
      <formula>$O$9=10</formula>
    </cfRule>
  </conditionalFormatting>
  <conditionalFormatting sqref="N10">
    <cfRule type="expression" dxfId="17" priority="29">
      <formula>$O$10=10</formula>
    </cfRule>
  </conditionalFormatting>
  <conditionalFormatting sqref="N12">
    <cfRule type="expression" dxfId="16" priority="27">
      <formula>$O$12=10</formula>
    </cfRule>
  </conditionalFormatting>
  <conditionalFormatting sqref="N18:P18">
    <cfRule type="expression" dxfId="15" priority="1">
      <formula>$O$18&gt;69.5</formula>
    </cfRule>
    <cfRule type="expression" dxfId="14" priority="26">
      <formula>$O$18&lt;10.5</formula>
    </cfRule>
  </conditionalFormatting>
  <conditionalFormatting sqref="N6:P6">
    <cfRule type="expression" dxfId="13" priority="8">
      <formula>$O$6&gt;69.5</formula>
    </cfRule>
    <cfRule type="expression" dxfId="12" priority="16">
      <formula>$O$6&lt;10.5</formula>
    </cfRule>
  </conditionalFormatting>
  <conditionalFormatting sqref="N7:P7">
    <cfRule type="expression" dxfId="11" priority="6">
      <formula>$O$7&gt;69.5</formula>
    </cfRule>
    <cfRule type="expression" dxfId="10" priority="7">
      <formula>$O$7&lt;10.5</formula>
    </cfRule>
  </conditionalFormatting>
  <conditionalFormatting sqref="N8:P8">
    <cfRule type="expression" dxfId="9" priority="5">
      <formula>$O$8&gt;69.5</formula>
    </cfRule>
    <cfRule type="expression" dxfId="8" priority="13">
      <formula>$O$8&lt;10.5</formula>
    </cfRule>
  </conditionalFormatting>
  <conditionalFormatting sqref="N9:P9">
    <cfRule type="expression" dxfId="7" priority="4">
      <formula>$O$9&gt;69.5</formula>
    </cfRule>
    <cfRule type="expression" dxfId="6" priority="12">
      <formula>$O$9&lt;10.5</formula>
    </cfRule>
  </conditionalFormatting>
  <conditionalFormatting sqref="N10:P10">
    <cfRule type="expression" dxfId="5" priority="3">
      <formula>$O$10&gt;69.5</formula>
    </cfRule>
    <cfRule type="expression" dxfId="4" priority="11">
      <formula>$O$10&lt;10.5</formula>
    </cfRule>
  </conditionalFormatting>
  <conditionalFormatting sqref="N11:P11">
    <cfRule type="expression" dxfId="3" priority="2">
      <formula>$O$11&gt;69.5</formula>
    </cfRule>
    <cfRule type="expression" dxfId="2" priority="10">
      <formula>$O$11&lt;10.5</formula>
    </cfRule>
  </conditionalFormatting>
  <conditionalFormatting sqref="N12:P12">
    <cfRule type="expression" dxfId="1" priority="9">
      <formula>$O$12&lt;10.5</formula>
    </cfRule>
    <cfRule type="expression" dxfId="0" priority="15">
      <formula>$O$12&gt;69.5</formula>
    </cfRule>
  </conditionalFormatting>
  <dataValidations count="17">
    <dataValidation type="decimal" operator="equal" allowBlank="1" showInputMessage="1" showErrorMessage="1" sqref="AR12">
      <formula1>2.5</formula1>
    </dataValidation>
    <dataValidation type="decimal" operator="equal" allowBlank="1" showInputMessage="1" showErrorMessage="1" sqref="AR11">
      <formula1>2</formula1>
    </dataValidation>
    <dataValidation type="decimal" operator="equal" allowBlank="1" showInputMessage="1" showErrorMessage="1" sqref="AR10">
      <formula1>1.75</formula1>
    </dataValidation>
    <dataValidation type="decimal" operator="equal" allowBlank="1" showInputMessage="1" showErrorMessage="1" sqref="AR9">
      <formula1>1.5</formula1>
    </dataValidation>
    <dataValidation type="decimal" operator="equal" allowBlank="1" showInputMessage="1" showErrorMessage="1" sqref="AR8">
      <formula1>1.25</formula1>
    </dataValidation>
    <dataValidation type="decimal" operator="equal" allowBlank="1" showInputMessage="1" showErrorMessage="1" sqref="AR7">
      <formula1>1.1</formula1>
    </dataValidation>
    <dataValidation type="decimal" operator="equal" allowBlank="1" showInputMessage="1" showErrorMessage="1" sqref="AR6">
      <formula1>1</formula1>
    </dataValidation>
    <dataValidation type="whole" allowBlank="1" showInputMessage="1" showErrorMessage="1" errorTitle="ХЕРНЯ КАКАЯ-ТО..." error="введи значение от 1000 до 7000" promptTitle="введи значение" prompt="от 1000 до 7000" sqref="N18 N6:N12">
      <formula1>1000</formula1>
      <formula2>7000</formula2>
    </dataValidation>
    <dataValidation type="decimal" operator="equal" allowBlank="1" showInputMessage="1" showErrorMessage="1" errorTitle="ПОСТОЯННАЯ ВЕЛИЧИНА" error="ПОСТОЯННАЯ ВЕЛИЧИНА" sqref="L6">
      <formula1>1</formula1>
    </dataValidation>
    <dataValidation type="decimal" operator="equal" allowBlank="1" showInputMessage="1" showErrorMessage="1" errorTitle="ПОСТОЯННАЯ ВЕЛИЧИНА" error="ПОСТОЯННАЯ ВЕЛИЧИНА" sqref="L7">
      <formula1>1.1</formula1>
    </dataValidation>
    <dataValidation type="decimal" operator="equal" allowBlank="1" showInputMessage="1" showErrorMessage="1" errorTitle="ПОСТОЯННАЯ ВЕЛИЧИНА" error="ПОСТОЯННАЯ ВЕЛИЧИНА" sqref="L8">
      <formula1>1.25</formula1>
    </dataValidation>
    <dataValidation type="decimal" operator="equal" allowBlank="1" showInputMessage="1" showErrorMessage="1" errorTitle="ПОСТОЯННАЯ ВЕЛИЧИНА" error="ПОСТОЯННАЯ ВЕЛИЧИНА" sqref="L9">
      <formula1>1.5</formula1>
    </dataValidation>
    <dataValidation type="decimal" operator="equal" allowBlank="1" showInputMessage="1" showErrorMessage="1" errorTitle="ПОСТОЯННАЯ ВЕЛИЧИНА" error="ПОСТОЯННАЯ ВЕЛИЧИНА" sqref="L10">
      <formula1>1.75</formula1>
    </dataValidation>
    <dataValidation type="decimal" operator="equal" allowBlank="1" showInputMessage="1" showErrorMessage="1" errorTitle="ПОСТОЯННАЯ ВЕЛИЧИНА" error="ПОСТОЯННАЯ ВЕЛИЧИНА" sqref="L11">
      <formula1>2</formula1>
    </dataValidation>
    <dataValidation type="decimal" operator="equal" allowBlank="1" showInputMessage="1" showErrorMessage="1" errorTitle="ПОСТОЯННАЯ ВЕЛИЧИНА" error="ПОСТОЯННАЯ ВЕЛИЧИНА" sqref="L12">
      <formula1>2.5</formula1>
    </dataValidation>
    <dataValidation type="decimal" allowBlank="1" showInputMessage="1" showErrorMessage="1" errorTitle="ХЕРНЯ КАКАЯ-ТО..." error="введи значение от 1 до 2,5" promptTitle="введи значение" prompt="от 1 до 2,5" sqref="L18">
      <formula1>1</formula1>
      <formula2>2.5</formula2>
    </dataValidation>
    <dataValidation type="decimal" allowBlank="1" showInputMessage="1" showErrorMessage="1" errorTitle="ХЕРНЯ КАКАЯ-ТО..." error="введи значение от 10 до 60" promptTitle="введи значение" prompt="от 10 до 60" sqref="M6:M12 M18">
      <formula1>10</formula1>
      <formula2>60</formula2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tabSelected="1" zoomScaleNormal="100" workbookViewId="0">
      <pane xSplit="33" ySplit="30" topLeftCell="AJ31" activePane="bottomRight" state="frozen"/>
      <selection pane="topRight" activeCell="AH1" sqref="AH1"/>
      <selection pane="bottomLeft" activeCell="A31" sqref="A31"/>
      <selection pane="bottomRight" activeCell="I25" sqref="I25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6.42578125" style="2" hidden="1" customWidth="1"/>
    <col min="32" max="32" width="6.42578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-32.299999999999997</v>
      </c>
      <c r="Q4" s="255">
        <f>ROUND(IF(R4&lt;0,AE4*SIN(RADIANS(AD4)),AE4*SIN(RADIANS($AC4)))+O4,1)</f>
        <v>-19.399999999999999</v>
      </c>
      <c r="R4" s="210">
        <f>IF(X4&lt;0,-AE4*COS(RADIANS(AB4)),AE4*COS(RADIANS(AB4)))</f>
        <v>-36.295454545454547</v>
      </c>
      <c r="S4" s="173">
        <f>IF(X4&lt;0,AE4*SIN(RADIANS(AB4)),AE4*SIN(RADIANS(AB4)))</f>
        <v>10.227272727272727</v>
      </c>
      <c r="T4" s="22">
        <v>1.35</v>
      </c>
      <c r="U4" s="19">
        <v>1.5</v>
      </c>
      <c r="V4" s="20">
        <f>IF(Y4=1,$G$26*W4/100,V3+$G$26*W4/100)</f>
        <v>9.204545454545455</v>
      </c>
      <c r="W4" s="18">
        <f>T4*$G$22/16.5</f>
        <v>1.2272727272727273</v>
      </c>
      <c r="X4" s="21">
        <f>V4-$G$25/2</f>
        <v>-36.295454545454547</v>
      </c>
      <c r="Y4" s="19">
        <v>2</v>
      </c>
      <c r="Z4" s="18">
        <f t="shared" ref="Z4:Z25" si="0">U4*$G$22/16.5</f>
        <v>1.3636363636363635</v>
      </c>
      <c r="AA4" s="20">
        <f>$G$26*Z4/100</f>
        <v>10.227272727272727</v>
      </c>
      <c r="AB4" s="22">
        <f>DEGREES(ATAN(AA4/(ABS(X4))))</f>
        <v>15.736686310055667</v>
      </c>
      <c r="AC4" s="22">
        <f>DEGREES(ATAN(AA4/(ABS(X4))))+$G$24</f>
        <v>62.432879490709013</v>
      </c>
      <c r="AD4" s="22">
        <f>DEGREES(ATAN(AA4/(ABS(X4))))-$G$24</f>
        <v>-30.959506870597679</v>
      </c>
      <c r="AE4" s="22">
        <f>SQRT(AA4*AA4+X4*X4)</f>
        <v>37.708846814761834</v>
      </c>
    </row>
    <row r="5" spans="15:31" x14ac:dyDescent="0.25">
      <c r="O5" s="234">
        <v>0</v>
      </c>
      <c r="P5" s="256">
        <f t="shared" ref="P5:P24" si="1">ROUND(IF(R5&lt;0,-AE5*COS(RADIANS(AD5)),AE5*COS(RADIANS(AC5))),1)</f>
        <v>-29</v>
      </c>
      <c r="Q5" s="257">
        <f t="shared" ref="Q5:Q24" si="2">ROUND(IF(R5&lt;0,AE5*SIN(RADIANS(AD5)),AE5*SIN(RADIANS($AC5)))+O5,1)</f>
        <v>-9.9</v>
      </c>
      <c r="R5" s="210">
        <f t="shared" ref="R5:R53" si="3">IF(X5&lt;0,-AE5*COS(RADIANS(AB5)),AE5*COS(RADIANS(AB5)))</f>
        <v>-27.090909090909086</v>
      </c>
      <c r="S5" s="173">
        <f t="shared" ref="S5:S53" si="4">IF(X5&lt;0,AE5*SIN(RADIANS(AB5)),AE5*SIN(RADIANS(AB5)))</f>
        <v>14.318181818181818</v>
      </c>
      <c r="T5" s="22">
        <v>1.35</v>
      </c>
      <c r="U5" s="19">
        <v>2.1</v>
      </c>
      <c r="V5" s="20">
        <f>IF(Y5=1,$G$26*W5/100,V4+$G$26*W5/100)</f>
        <v>18.40909090909091</v>
      </c>
      <c r="W5" s="18">
        <f t="shared" ref="W5:W24" si="5">T5*$G$22/16.5</f>
        <v>1.2272727272727273</v>
      </c>
      <c r="X5" s="21">
        <f t="shared" ref="X5:X25" si="6">V5-$G$25/2</f>
        <v>-27.09090909090909</v>
      </c>
      <c r="Y5" s="19">
        <v>3</v>
      </c>
      <c r="Z5" s="18">
        <f t="shared" si="0"/>
        <v>1.9090909090909092</v>
      </c>
      <c r="AA5" s="20">
        <f>$G$26*Z5/100</f>
        <v>14.31818181818182</v>
      </c>
      <c r="AB5" s="22">
        <f t="shared" ref="AB5:AB24" si="7">DEGREES(ATAN(AA5/(ABS(X5))))</f>
        <v>27.857503780788456</v>
      </c>
      <c r="AC5" s="22">
        <f t="shared" ref="AC5:AC25" si="8">DEGREES(ATAN(AA5/(ABS(X5))))+$G$24</f>
        <v>74.553696961441801</v>
      </c>
      <c r="AD5" s="22">
        <f t="shared" ref="AD5:AD25" si="9">DEGREES(ATAN(AA5/(ABS(X5))))-$G$24</f>
        <v>-18.83868939986489</v>
      </c>
      <c r="AE5" s="22">
        <f>SQRT(AA5*AA5+X5*X5)</f>
        <v>30.641926929460769</v>
      </c>
    </row>
    <row r="6" spans="15:31" x14ac:dyDescent="0.25">
      <c r="O6" s="234">
        <v>0</v>
      </c>
      <c r="P6" s="256">
        <f t="shared" si="1"/>
        <v>-24.7</v>
      </c>
      <c r="Q6" s="257">
        <f t="shared" si="2"/>
        <v>-1.3</v>
      </c>
      <c r="R6" s="210">
        <f t="shared" si="3"/>
        <v>-17.886363636363633</v>
      </c>
      <c r="S6" s="173">
        <f t="shared" si="4"/>
        <v>17.045454545454547</v>
      </c>
      <c r="T6" s="22">
        <v>1.35</v>
      </c>
      <c r="U6" s="19">
        <v>2.5</v>
      </c>
      <c r="V6" s="20">
        <f>IF(Y6=1,$G$26*W6/100,V5+$G$26*W6/100)</f>
        <v>27.613636363636367</v>
      </c>
      <c r="W6" s="18">
        <f t="shared" si="5"/>
        <v>1.2272727272727273</v>
      </c>
      <c r="X6" s="21">
        <f t="shared" si="6"/>
        <v>-17.886363636363633</v>
      </c>
      <c r="Y6" s="19">
        <v>4</v>
      </c>
      <c r="Z6" s="18">
        <f t="shared" si="0"/>
        <v>2.2727272727272729</v>
      </c>
      <c r="AA6" s="20">
        <f>$G$26*Z6/100</f>
        <v>17.045454545454547</v>
      </c>
      <c r="AB6" s="22">
        <f t="shared" si="7"/>
        <v>43.62099253111122</v>
      </c>
      <c r="AC6" s="22">
        <f t="shared" si="8"/>
        <v>90.317185711764566</v>
      </c>
      <c r="AD6" s="22">
        <f t="shared" si="9"/>
        <v>-3.0752006495421256</v>
      </c>
      <c r="AE6" s="22">
        <f>SQRT(AA6*AA6+X6*X6)</f>
        <v>24.707681493685083</v>
      </c>
    </row>
    <row r="7" spans="15:31" x14ac:dyDescent="0.25">
      <c r="O7" s="234">
        <v>0</v>
      </c>
      <c r="P7" s="256">
        <f t="shared" si="1"/>
        <v>-19.399999999999999</v>
      </c>
      <c r="Q7" s="257">
        <f t="shared" si="2"/>
        <v>6.3</v>
      </c>
      <c r="R7" s="210">
        <f t="shared" si="3"/>
        <v>-8.6818181818181746</v>
      </c>
      <c r="S7" s="173">
        <f t="shared" si="4"/>
        <v>18.409090909090914</v>
      </c>
      <c r="T7" s="22">
        <v>1.35</v>
      </c>
      <c r="U7" s="19">
        <v>2.7</v>
      </c>
      <c r="V7" s="20">
        <f>IF(Y7=1,$G$26*W7/100,V6+$G$26*W7/100)</f>
        <v>36.81818181818182</v>
      </c>
      <c r="W7" s="18">
        <f t="shared" si="5"/>
        <v>1.2272727272727273</v>
      </c>
      <c r="X7" s="21">
        <f t="shared" si="6"/>
        <v>-8.6818181818181799</v>
      </c>
      <c r="Y7" s="19">
        <v>5</v>
      </c>
      <c r="Z7" s="18">
        <f t="shared" si="0"/>
        <v>2.4545454545454546</v>
      </c>
      <c r="AA7" s="20">
        <f>$G$26*Z7/100</f>
        <v>18.40909090909091</v>
      </c>
      <c r="AB7" s="22">
        <f t="shared" si="7"/>
        <v>64.751203661783009</v>
      </c>
      <c r="AC7" s="22">
        <f t="shared" si="8"/>
        <v>111.44739684243635</v>
      </c>
      <c r="AD7" s="22">
        <f t="shared" si="9"/>
        <v>18.055010481129663</v>
      </c>
      <c r="AE7" s="22">
        <f>SQRT(AA7*AA7+X7*X7)</f>
        <v>20.353589242227581</v>
      </c>
    </row>
    <row r="8" spans="15:31" x14ac:dyDescent="0.25">
      <c r="O8" s="234">
        <v>0</v>
      </c>
      <c r="P8" s="256">
        <f t="shared" si="1"/>
        <v>-13.3</v>
      </c>
      <c r="Q8" s="257">
        <f t="shared" si="2"/>
        <v>13.2</v>
      </c>
      <c r="R8" s="210">
        <f t="shared" si="3"/>
        <v>0.52272727272727493</v>
      </c>
      <c r="S8" s="173">
        <f t="shared" si="4"/>
        <v>18.75</v>
      </c>
      <c r="T8" s="22">
        <v>1.35</v>
      </c>
      <c r="U8" s="19">
        <v>2.75</v>
      </c>
      <c r="V8" s="20">
        <f>IF(Y8=1,$G$26*W8/100,V7+$G$26*W8/100)</f>
        <v>46.022727272727273</v>
      </c>
      <c r="W8" s="18">
        <f t="shared" si="5"/>
        <v>1.2272727272727273</v>
      </c>
      <c r="X8" s="21">
        <f t="shared" si="6"/>
        <v>0.52272727272727337</v>
      </c>
      <c r="Y8" s="19">
        <v>6</v>
      </c>
      <c r="Z8" s="18">
        <f t="shared" si="0"/>
        <v>2.5</v>
      </c>
      <c r="AA8" s="20">
        <f>$G$26*Z8/100</f>
        <v>18.75</v>
      </c>
      <c r="AB8" s="22">
        <f t="shared" si="7"/>
        <v>88.403076754746408</v>
      </c>
      <c r="AC8" s="22">
        <f t="shared" si="8"/>
        <v>135.09926993539975</v>
      </c>
      <c r="AD8" s="22">
        <f t="shared" si="9"/>
        <v>41.706883574093062</v>
      </c>
      <c r="AE8" s="22">
        <f>SQRT(AA8*AA8+X8*X8)</f>
        <v>18.757285086111285</v>
      </c>
    </row>
    <row r="9" spans="15:31" x14ac:dyDescent="0.25">
      <c r="O9" s="234">
        <v>0</v>
      </c>
      <c r="P9" s="256">
        <f t="shared" si="1"/>
        <v>-6.2</v>
      </c>
      <c r="Q9" s="257">
        <f t="shared" si="2"/>
        <v>19.2</v>
      </c>
      <c r="R9" s="210">
        <f t="shared" si="3"/>
        <v>9.7272727272727266</v>
      </c>
      <c r="S9" s="173">
        <f t="shared" si="4"/>
        <v>17.72727272727273</v>
      </c>
      <c r="T9" s="22">
        <v>1.35</v>
      </c>
      <c r="U9" s="19">
        <v>2.6</v>
      </c>
      <c r="V9" s="20">
        <f>IF(Y9=1,$G$26*W9/100,V8+$G$26*W9/100)</f>
        <v>55.227272727272727</v>
      </c>
      <c r="W9" s="18">
        <f t="shared" si="5"/>
        <v>1.2272727272727273</v>
      </c>
      <c r="X9" s="21">
        <f t="shared" si="6"/>
        <v>9.7272727272727266</v>
      </c>
      <c r="Y9" s="19">
        <v>7</v>
      </c>
      <c r="Z9" s="18">
        <f t="shared" si="0"/>
        <v>2.3636363636363638</v>
      </c>
      <c r="AA9" s="20">
        <f>$G$26*Z9/100</f>
        <v>17.727272727272727</v>
      </c>
      <c r="AB9" s="22">
        <f t="shared" si="7"/>
        <v>61.245633045474278</v>
      </c>
      <c r="AC9" s="22">
        <f t="shared" si="8"/>
        <v>107.94182622612763</v>
      </c>
      <c r="AD9" s="22">
        <f t="shared" si="9"/>
        <v>14.549439864820933</v>
      </c>
      <c r="AE9" s="22">
        <f>SQRT(AA9*AA9+X9*X9)</f>
        <v>20.220683298490467</v>
      </c>
    </row>
    <row r="10" spans="15:31" x14ac:dyDescent="0.25">
      <c r="O10" s="234">
        <v>0</v>
      </c>
      <c r="P10" s="256">
        <f t="shared" si="1"/>
        <v>1.6</v>
      </c>
      <c r="Q10" s="257">
        <f t="shared" si="2"/>
        <v>24.5</v>
      </c>
      <c r="R10" s="210">
        <f t="shared" si="3"/>
        <v>18.931818181818187</v>
      </c>
      <c r="S10" s="173">
        <f t="shared" si="4"/>
        <v>15.681818181818182</v>
      </c>
      <c r="T10" s="22">
        <v>1.35</v>
      </c>
      <c r="U10" s="19">
        <v>2.2999999999999998</v>
      </c>
      <c r="V10" s="20">
        <f>IF(Y10=1,$G$26*W10/100,V9+$G$26*W10/100)</f>
        <v>64.431818181818187</v>
      </c>
      <c r="W10" s="18">
        <f t="shared" si="5"/>
        <v>1.2272727272727273</v>
      </c>
      <c r="X10" s="21">
        <f t="shared" si="6"/>
        <v>18.931818181818187</v>
      </c>
      <c r="Y10" s="19">
        <v>8</v>
      </c>
      <c r="Z10" s="18">
        <f t="shared" si="0"/>
        <v>2.0909090909090908</v>
      </c>
      <c r="AA10" s="20">
        <f>$G$26*Z10/100</f>
        <v>15.68181818181818</v>
      </c>
      <c r="AB10" s="22">
        <f t="shared" si="7"/>
        <v>39.636017315450886</v>
      </c>
      <c r="AC10" s="22">
        <f t="shared" si="8"/>
        <v>86.332210496104238</v>
      </c>
      <c r="AD10" s="22">
        <f t="shared" si="9"/>
        <v>-7.06017586520246</v>
      </c>
      <c r="AE10" s="22">
        <f>SQRT(AA10*AA10+X10*X10)</f>
        <v>24.583188588078336</v>
      </c>
    </row>
    <row r="11" spans="15:31" x14ac:dyDescent="0.25">
      <c r="O11" s="234">
        <v>0.5</v>
      </c>
      <c r="P11" s="256">
        <f t="shared" si="1"/>
        <v>10.4</v>
      </c>
      <c r="Q11" s="257">
        <f t="shared" si="2"/>
        <v>29.4</v>
      </c>
      <c r="R11" s="210">
        <f t="shared" si="3"/>
        <v>28.13636363636364</v>
      </c>
      <c r="S11" s="173">
        <f t="shared" si="4"/>
        <v>12.272727272727275</v>
      </c>
      <c r="T11" s="22">
        <v>1.35</v>
      </c>
      <c r="U11" s="19">
        <v>1.8</v>
      </c>
      <c r="V11" s="20">
        <f>IF(Y11=1,$G$26*W11/100,V10+$G$26*W11/100)</f>
        <v>73.63636363636364</v>
      </c>
      <c r="W11" s="18">
        <f t="shared" si="5"/>
        <v>1.2272727272727273</v>
      </c>
      <c r="X11" s="21">
        <f t="shared" si="6"/>
        <v>28.13636363636364</v>
      </c>
      <c r="Y11" s="19">
        <v>9</v>
      </c>
      <c r="Z11" s="18">
        <f t="shared" si="0"/>
        <v>1.6363636363636365</v>
      </c>
      <c r="AA11" s="20">
        <f>$G$26*Z11/100</f>
        <v>12.272727272727273</v>
      </c>
      <c r="AB11" s="22">
        <f t="shared" si="7"/>
        <v>23.566223174779573</v>
      </c>
      <c r="AC11" s="22">
        <f t="shared" si="8"/>
        <v>70.262416355432919</v>
      </c>
      <c r="AD11" s="22">
        <f t="shared" si="9"/>
        <v>-23.129970005873773</v>
      </c>
      <c r="AE11" s="22">
        <f>SQRT(AA11*AA11+X11*X11)</f>
        <v>30.696494806222258</v>
      </c>
    </row>
    <row r="12" spans="15:31" x14ac:dyDescent="0.25">
      <c r="O12" s="234">
        <v>0</v>
      </c>
      <c r="P12" s="256">
        <f t="shared" si="1"/>
        <v>19.2</v>
      </c>
      <c r="Q12" s="257">
        <f t="shared" si="2"/>
        <v>33.299999999999997</v>
      </c>
      <c r="R12" s="210">
        <f t="shared" si="3"/>
        <v>37.340909090909101</v>
      </c>
      <c r="S12" s="173">
        <f t="shared" si="4"/>
        <v>8.8636363636363633</v>
      </c>
      <c r="T12" s="22">
        <v>1.35</v>
      </c>
      <c r="U12" s="19">
        <v>1.3</v>
      </c>
      <c r="V12" s="20">
        <f>IF(Y12=1,$G$26*W12/100,V11+$G$26*W12/100)</f>
        <v>82.840909090909093</v>
      </c>
      <c r="W12" s="18">
        <f t="shared" si="5"/>
        <v>1.2272727272727273</v>
      </c>
      <c r="X12" s="21">
        <f t="shared" si="6"/>
        <v>37.340909090909093</v>
      </c>
      <c r="Y12" s="19">
        <v>10</v>
      </c>
      <c r="Z12" s="18">
        <f t="shared" si="0"/>
        <v>1.1818181818181819</v>
      </c>
      <c r="AA12" s="20">
        <f>$G$26*Z12/100</f>
        <v>8.8636363636363633</v>
      </c>
      <c r="AB12" s="22">
        <f t="shared" si="7"/>
        <v>13.353203477196203</v>
      </c>
      <c r="AC12" s="22">
        <f t="shared" si="8"/>
        <v>60.049396657849549</v>
      </c>
      <c r="AD12" s="22">
        <f t="shared" si="9"/>
        <v>-33.342989703457143</v>
      </c>
      <c r="AE12" s="22">
        <f t="shared" ref="AE12:AE25" si="10">SQRT(AA12*AA12+X12*X12)</f>
        <v>38.378477579527754</v>
      </c>
    </row>
    <row r="13" spans="15:31" x14ac:dyDescent="0.25">
      <c r="O13" s="234">
        <v>0</v>
      </c>
      <c r="P13" s="256">
        <f t="shared" si="1"/>
        <v>23.3</v>
      </c>
      <c r="Q13" s="257">
        <f t="shared" si="2"/>
        <v>34.700000000000003</v>
      </c>
      <c r="R13" s="210">
        <f t="shared" si="3"/>
        <v>41.25454545454545</v>
      </c>
      <c r="S13" s="173">
        <f t="shared" si="4"/>
        <v>6.8181818181818166</v>
      </c>
      <c r="T13" s="18">
        <v>0.57399999999999995</v>
      </c>
      <c r="U13" s="19">
        <v>1</v>
      </c>
      <c r="V13" s="20">
        <f>IF(Y13=1,$G$26*W13/100,V12+$G$26*W13/100)</f>
        <v>86.75454545454545</v>
      </c>
      <c r="W13" s="18">
        <f t="shared" si="5"/>
        <v>0.52181818181818174</v>
      </c>
      <c r="X13" s="21">
        <f t="shared" si="6"/>
        <v>41.25454545454545</v>
      </c>
      <c r="Y13" s="19">
        <v>11</v>
      </c>
      <c r="Z13" s="18">
        <f t="shared" si="0"/>
        <v>0.90909090909090906</v>
      </c>
      <c r="AA13" s="20">
        <f>$G$26*Z13/100</f>
        <v>6.8181818181818175</v>
      </c>
      <c r="AB13" s="22">
        <f t="shared" si="7"/>
        <v>9.3845025539156399</v>
      </c>
      <c r="AC13" s="22">
        <f t="shared" si="8"/>
        <v>56.080695734568984</v>
      </c>
      <c r="AD13" s="22">
        <f t="shared" si="9"/>
        <v>-37.311690626737708</v>
      </c>
      <c r="AE13" s="22">
        <f t="shared" si="10"/>
        <v>41.814173720963822</v>
      </c>
    </row>
    <row r="14" spans="15:31" ht="15.75" x14ac:dyDescent="0.25">
      <c r="O14" s="234">
        <v>0</v>
      </c>
      <c r="P14" s="258">
        <f>P36</f>
        <v>31.20693511163736</v>
      </c>
      <c r="Q14" s="259">
        <f>Q36</f>
        <v>33.111587109923555</v>
      </c>
      <c r="R14" s="210">
        <f t="shared" si="3"/>
        <v>45.5</v>
      </c>
      <c r="S14" s="173">
        <f t="shared" si="4"/>
        <v>0</v>
      </c>
      <c r="T14" s="23"/>
      <c r="U14" s="24">
        <v>1</v>
      </c>
      <c r="V14" s="25">
        <f>G25</f>
        <v>91</v>
      </c>
      <c r="W14" s="18">
        <f t="shared" si="5"/>
        <v>0</v>
      </c>
      <c r="X14" s="21">
        <f t="shared" si="6"/>
        <v>45.5</v>
      </c>
      <c r="Y14" s="26">
        <v>12</v>
      </c>
      <c r="Z14" s="18">
        <f>U14*$G$22/16.5</f>
        <v>0.90909090909090906</v>
      </c>
      <c r="AA14" s="25">
        <f>AA13-(AA13-AA15)/2</f>
        <v>0</v>
      </c>
      <c r="AB14" s="22">
        <f t="shared" si="7"/>
        <v>0</v>
      </c>
      <c r="AC14" s="22">
        <f t="shared" si="8"/>
        <v>46.696193180653346</v>
      </c>
      <c r="AD14" s="22">
        <f t="shared" si="9"/>
        <v>-46.696193180653346</v>
      </c>
      <c r="AE14" s="22">
        <f t="shared" si="10"/>
        <v>45.5</v>
      </c>
    </row>
    <row r="15" spans="15:31" x14ac:dyDescent="0.25">
      <c r="O15" s="234">
        <v>0</v>
      </c>
      <c r="P15" s="260">
        <f t="shared" si="1"/>
        <v>33.5</v>
      </c>
      <c r="Q15" s="261">
        <f t="shared" si="2"/>
        <v>25.6</v>
      </c>
      <c r="R15" s="210">
        <f t="shared" si="3"/>
        <v>41.586363636363643</v>
      </c>
      <c r="S15" s="173">
        <f t="shared" si="4"/>
        <v>-6.8181818181818183</v>
      </c>
      <c r="T15" s="27">
        <v>0.57399999999999995</v>
      </c>
      <c r="U15" s="28">
        <f>-U13</f>
        <v>-1</v>
      </c>
      <c r="V15" s="29">
        <f>IF(Y15=11,$G$25-$G$26*W15/100,V14-$G$26*W15/100)</f>
        <v>87.086363636363643</v>
      </c>
      <c r="W15" s="18">
        <f t="shared" si="5"/>
        <v>0.52181818181818174</v>
      </c>
      <c r="X15" s="21">
        <f t="shared" si="6"/>
        <v>41.586363636363643</v>
      </c>
      <c r="Y15" s="28">
        <v>11</v>
      </c>
      <c r="Z15" s="18">
        <f t="shared" si="0"/>
        <v>-0.90909090909090906</v>
      </c>
      <c r="AA15" s="29">
        <f t="shared" ref="AA15:AA24" si="11">$G$26*Z15/100</f>
        <v>-6.8181818181818175</v>
      </c>
      <c r="AB15" s="22">
        <f t="shared" si="7"/>
        <v>-9.3109399460426641</v>
      </c>
      <c r="AC15" s="22">
        <f t="shared" si="8"/>
        <v>37.38525323461068</v>
      </c>
      <c r="AD15" s="22">
        <f t="shared" si="9"/>
        <v>-56.007133126696012</v>
      </c>
      <c r="AE15" s="22">
        <f t="shared" si="10"/>
        <v>42.141585682098551</v>
      </c>
    </row>
    <row r="16" spans="15:31" x14ac:dyDescent="0.25">
      <c r="O16" s="234">
        <v>0</v>
      </c>
      <c r="P16" s="260">
        <f t="shared" si="1"/>
        <v>32.299999999999997</v>
      </c>
      <c r="Q16" s="261">
        <f t="shared" si="2"/>
        <v>21.3</v>
      </c>
      <c r="R16" s="210">
        <f t="shared" si="3"/>
        <v>37.672727272727286</v>
      </c>
      <c r="S16" s="173">
        <f t="shared" si="4"/>
        <v>-8.8636363636363633</v>
      </c>
      <c r="T16" s="27">
        <v>0.57399999999999995</v>
      </c>
      <c r="U16" s="28">
        <f>-U12</f>
        <v>-1.3</v>
      </c>
      <c r="V16" s="29">
        <f>IF(Y16=11,$G$25-$G$26*W16/100,V15-$G$26*W16/100)</f>
        <v>83.172727272727286</v>
      </c>
      <c r="W16" s="18">
        <f t="shared" si="5"/>
        <v>0.52181818181818174</v>
      </c>
      <c r="X16" s="21">
        <f t="shared" si="6"/>
        <v>37.672727272727286</v>
      </c>
      <c r="Y16" s="28">
        <v>10</v>
      </c>
      <c r="Z16" s="18">
        <f t="shared" si="0"/>
        <v>-1.1818181818181819</v>
      </c>
      <c r="AA16" s="29">
        <f t="shared" si="11"/>
        <v>-8.8636363636363633</v>
      </c>
      <c r="AB16" s="22">
        <f t="shared" si="7"/>
        <v>-13.239749272002317</v>
      </c>
      <c r="AC16" s="22">
        <f t="shared" si="8"/>
        <v>33.456443908651025</v>
      </c>
      <c r="AD16" s="22">
        <f t="shared" si="9"/>
        <v>-59.935942452655667</v>
      </c>
      <c r="AE16" s="22">
        <f t="shared" si="10"/>
        <v>38.701400875834807</v>
      </c>
    </row>
    <row r="17" spans="2:32" x14ac:dyDescent="0.25">
      <c r="O17" s="234">
        <v>-0.5</v>
      </c>
      <c r="P17" s="260">
        <f t="shared" si="1"/>
        <v>28.5</v>
      </c>
      <c r="Q17" s="261">
        <f t="shared" si="2"/>
        <v>11.8</v>
      </c>
      <c r="R17" s="210">
        <f t="shared" si="3"/>
        <v>28.468181818181833</v>
      </c>
      <c r="S17" s="173">
        <f t="shared" si="4"/>
        <v>-12.272727272727275</v>
      </c>
      <c r="T17" s="28">
        <v>1.35</v>
      </c>
      <c r="U17" s="28">
        <f>-U11</f>
        <v>-1.8</v>
      </c>
      <c r="V17" s="29">
        <f>IF(Y17=11,$G$25-$G$26*W17/100,V16-$G$26*W17/100)</f>
        <v>73.968181818181833</v>
      </c>
      <c r="W17" s="18">
        <f t="shared" si="5"/>
        <v>1.2272727272727273</v>
      </c>
      <c r="X17" s="21">
        <f t="shared" si="6"/>
        <v>28.468181818181833</v>
      </c>
      <c r="Y17" s="28">
        <v>9</v>
      </c>
      <c r="Z17" s="18">
        <f t="shared" si="0"/>
        <v>-1.6363636363636365</v>
      </c>
      <c r="AA17" s="29">
        <f t="shared" si="11"/>
        <v>-12.272727272727273</v>
      </c>
      <c r="AB17" s="22">
        <f t="shared" si="7"/>
        <v>-23.321033705814706</v>
      </c>
      <c r="AC17" s="22">
        <f t="shared" si="8"/>
        <v>23.37515947483864</v>
      </c>
      <c r="AD17" s="22">
        <f t="shared" si="9"/>
        <v>-70.017226886468052</v>
      </c>
      <c r="AE17" s="22">
        <f t="shared" si="10"/>
        <v>31.000922740199243</v>
      </c>
    </row>
    <row r="18" spans="2:32" x14ac:dyDescent="0.25">
      <c r="O18" s="234">
        <v>0</v>
      </c>
      <c r="P18" s="260">
        <f t="shared" si="1"/>
        <v>24.6</v>
      </c>
      <c r="Q18" s="261">
        <f t="shared" si="2"/>
        <v>3.3</v>
      </c>
      <c r="R18" s="210">
        <f t="shared" si="3"/>
        <v>19.26363636363638</v>
      </c>
      <c r="S18" s="173">
        <f t="shared" si="4"/>
        <v>-15.68181818181818</v>
      </c>
      <c r="T18" s="28">
        <v>1.35</v>
      </c>
      <c r="U18" s="28">
        <f>-U10</f>
        <v>-2.2999999999999998</v>
      </c>
      <c r="V18" s="29">
        <f>IF(Y18=11,$G$25-$G$26*W18/100,V17-$G$26*W18/100)</f>
        <v>64.76363636363638</v>
      </c>
      <c r="W18" s="18">
        <f t="shared" si="5"/>
        <v>1.2272727272727273</v>
      </c>
      <c r="X18" s="21">
        <f t="shared" si="6"/>
        <v>19.26363636363638</v>
      </c>
      <c r="Y18" s="28">
        <v>8</v>
      </c>
      <c r="Z18" s="18">
        <f t="shared" si="0"/>
        <v>-2.0909090909090908</v>
      </c>
      <c r="AA18" s="29">
        <f t="shared" si="11"/>
        <v>-15.68181818181818</v>
      </c>
      <c r="AB18" s="22">
        <f t="shared" si="7"/>
        <v>-39.147768513918173</v>
      </c>
      <c r="AC18" s="22">
        <f t="shared" si="8"/>
        <v>7.5484246667351727</v>
      </c>
      <c r="AD18" s="22">
        <f t="shared" si="9"/>
        <v>-85.843961694571519</v>
      </c>
      <c r="AE18" s="22">
        <f t="shared" si="10"/>
        <v>24.839627763676674</v>
      </c>
    </row>
    <row r="19" spans="2:32" x14ac:dyDescent="0.25">
      <c r="O19" s="234">
        <v>0</v>
      </c>
      <c r="P19" s="260">
        <f t="shared" si="1"/>
        <v>19.8</v>
      </c>
      <c r="Q19" s="261">
        <f t="shared" si="2"/>
        <v>-4.8</v>
      </c>
      <c r="R19" s="210">
        <f t="shared" si="3"/>
        <v>10.059090909090928</v>
      </c>
      <c r="S19" s="173">
        <f t="shared" si="4"/>
        <v>-17.727272727272727</v>
      </c>
      <c r="T19" s="28">
        <v>1.35</v>
      </c>
      <c r="U19" s="28">
        <f>-U9</f>
        <v>-2.6</v>
      </c>
      <c r="V19" s="29">
        <f>IF(Y19=11,$G$25-$G$26*W19/100,V18-$G$26*W19/100)</f>
        <v>55.559090909090926</v>
      </c>
      <c r="W19" s="18">
        <f t="shared" si="5"/>
        <v>1.2272727272727273</v>
      </c>
      <c r="X19" s="21">
        <f t="shared" si="6"/>
        <v>10.059090909090926</v>
      </c>
      <c r="Y19" s="28">
        <v>7</v>
      </c>
      <c r="Z19" s="18">
        <f t="shared" si="0"/>
        <v>-2.3636363636363638</v>
      </c>
      <c r="AA19" s="29">
        <f t="shared" si="11"/>
        <v>-17.727272727272727</v>
      </c>
      <c r="AB19" s="22">
        <f t="shared" si="7"/>
        <v>-60.427867680787493</v>
      </c>
      <c r="AC19" s="22">
        <f t="shared" si="8"/>
        <v>-13.731674500134147</v>
      </c>
      <c r="AD19" s="22">
        <f t="shared" si="9"/>
        <v>-107.12406086144084</v>
      </c>
      <c r="AE19" s="22">
        <f t="shared" si="10"/>
        <v>20.382382301008466</v>
      </c>
    </row>
    <row r="20" spans="2:32" x14ac:dyDescent="0.25">
      <c r="O20" s="234">
        <v>0</v>
      </c>
      <c r="P20" s="260">
        <f t="shared" si="1"/>
        <v>14.2</v>
      </c>
      <c r="Q20" s="261">
        <f t="shared" si="2"/>
        <v>-12.2</v>
      </c>
      <c r="R20" s="210">
        <f t="shared" si="3"/>
        <v>0.85454545454547182</v>
      </c>
      <c r="S20" s="173">
        <f t="shared" si="4"/>
        <v>-18.75</v>
      </c>
      <c r="T20" s="28">
        <v>1.35</v>
      </c>
      <c r="U20" s="28">
        <v>-2.75</v>
      </c>
      <c r="V20" s="29">
        <f>IF(Y20=11,$G$25-$G$26*W20/100,V19-$G$26*W20/100)</f>
        <v>46.354545454545473</v>
      </c>
      <c r="W20" s="18">
        <f t="shared" si="5"/>
        <v>1.2272727272727273</v>
      </c>
      <c r="X20" s="21">
        <f t="shared" si="6"/>
        <v>0.85454545454547315</v>
      </c>
      <c r="Y20" s="28">
        <v>6</v>
      </c>
      <c r="Z20" s="18">
        <f t="shared" si="0"/>
        <v>-2.5</v>
      </c>
      <c r="AA20" s="29">
        <f t="shared" si="11"/>
        <v>-18.75</v>
      </c>
      <c r="AB20" s="22">
        <f t="shared" si="7"/>
        <v>-87.390507212139013</v>
      </c>
      <c r="AC20" s="22">
        <f t="shared" si="8"/>
        <v>-40.694314031485668</v>
      </c>
      <c r="AD20" s="22">
        <f t="shared" si="9"/>
        <v>-134.08670039279235</v>
      </c>
      <c r="AE20" s="22">
        <f t="shared" si="10"/>
        <v>18.769463176497201</v>
      </c>
    </row>
    <row r="21" spans="2:32" x14ac:dyDescent="0.25">
      <c r="B21" s="147" t="s">
        <v>1</v>
      </c>
      <c r="C21" s="148" t="s">
        <v>61</v>
      </c>
      <c r="D21" s="148" t="s">
        <v>5</v>
      </c>
      <c r="O21" s="234">
        <v>0</v>
      </c>
      <c r="P21" s="260">
        <f t="shared" si="1"/>
        <v>7.7</v>
      </c>
      <c r="Q21" s="261">
        <f t="shared" si="2"/>
        <v>-18.7</v>
      </c>
      <c r="R21" s="210">
        <f t="shared" si="3"/>
        <v>-8.3499999999999748</v>
      </c>
      <c r="S21" s="173">
        <f t="shared" si="4"/>
        <v>-18.409090909090914</v>
      </c>
      <c r="T21" s="28">
        <v>1.35</v>
      </c>
      <c r="U21" s="28">
        <f>-U7</f>
        <v>-2.7</v>
      </c>
      <c r="V21" s="29">
        <f>IF(Y21=11,$G$25-$G$26*W21/100,V20-$G$26*W21/100)</f>
        <v>37.15000000000002</v>
      </c>
      <c r="W21" s="18">
        <f t="shared" si="5"/>
        <v>1.2272727272727273</v>
      </c>
      <c r="X21" s="21">
        <f t="shared" si="6"/>
        <v>-8.3499999999999801</v>
      </c>
      <c r="Y21" s="28">
        <v>5</v>
      </c>
      <c r="Z21" s="18">
        <f t="shared" si="0"/>
        <v>-2.4545454545454546</v>
      </c>
      <c r="AA21" s="29">
        <f t="shared" si="11"/>
        <v>-18.40909090909091</v>
      </c>
      <c r="AB21" s="22">
        <f t="shared" si="7"/>
        <v>-65.601894628593968</v>
      </c>
      <c r="AC21" s="22">
        <f t="shared" si="8"/>
        <v>-18.905701447940622</v>
      </c>
      <c r="AD21" s="22">
        <f t="shared" si="9"/>
        <v>-112.29808780924731</v>
      </c>
      <c r="AE21" s="22">
        <f t="shared" si="10"/>
        <v>20.214280301291293</v>
      </c>
    </row>
    <row r="22" spans="2:32" ht="15.75" x14ac:dyDescent="0.25">
      <c r="B22" s="157">
        <f>'Мощ-Диаметр-Ширина-Шаг-Угол'!T16</f>
        <v>0.14699999999999999</v>
      </c>
      <c r="C22" s="158">
        <f>'Мощ-Диаметр-Ширина-Шаг-Угол'!U16</f>
        <v>110.25</v>
      </c>
      <c r="D22" s="158">
        <f>'Мощ-Диаметр-Ширина-Шаг-Угол'!V16</f>
        <v>46.696193180653346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0.4</v>
      </c>
      <c r="Q22" s="261">
        <f t="shared" si="2"/>
        <v>-24.5</v>
      </c>
      <c r="R22" s="210">
        <f t="shared" si="3"/>
        <v>-17.554545454545437</v>
      </c>
      <c r="S22" s="173">
        <f t="shared" si="4"/>
        <v>-17.045454545454547</v>
      </c>
      <c r="T22" s="28">
        <v>1.35</v>
      </c>
      <c r="U22" s="28">
        <f>-U6</f>
        <v>-2.5</v>
      </c>
      <c r="V22" s="29">
        <f>IF(Y22=11,$G$25-$G$26*W22/100,V21-$G$26*W22/100)</f>
        <v>27.945454545454567</v>
      </c>
      <c r="W22" s="18">
        <f t="shared" si="5"/>
        <v>1.2272727272727273</v>
      </c>
      <c r="X22" s="21">
        <f t="shared" si="6"/>
        <v>-17.554545454545433</v>
      </c>
      <c r="Y22" s="28">
        <v>4</v>
      </c>
      <c r="Z22" s="18">
        <f t="shared" si="0"/>
        <v>-2.2727272727272729</v>
      </c>
      <c r="AA22" s="29">
        <f t="shared" si="11"/>
        <v>-17.045454545454547</v>
      </c>
      <c r="AB22" s="22">
        <f t="shared" si="7"/>
        <v>-44.157033068362843</v>
      </c>
      <c r="AC22" s="22">
        <f t="shared" si="8"/>
        <v>2.539160112290503</v>
      </c>
      <c r="AD22" s="22">
        <f t="shared" si="9"/>
        <v>-90.853226249016188</v>
      </c>
      <c r="AE22" s="22">
        <f t="shared" si="10"/>
        <v>24.468542800437849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52">
        <f>B22</f>
        <v>0.14699999999999999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-7.9</v>
      </c>
      <c r="Q23" s="261">
        <f t="shared" si="2"/>
        <v>-29.3</v>
      </c>
      <c r="R23" s="210">
        <f t="shared" si="3"/>
        <v>-26.759090909090887</v>
      </c>
      <c r="S23" s="173">
        <f t="shared" si="4"/>
        <v>-14.31818181818182</v>
      </c>
      <c r="T23" s="28">
        <v>1.35</v>
      </c>
      <c r="U23" s="28">
        <f>-U5</f>
        <v>-2.1</v>
      </c>
      <c r="V23" s="29">
        <f>IF(Y23=11,$G$25-$G$26*W23/100,V22-$G$26*W23/100)</f>
        <v>18.740909090909113</v>
      </c>
      <c r="W23" s="18">
        <f t="shared" si="5"/>
        <v>1.2272727272727273</v>
      </c>
      <c r="X23" s="21">
        <f t="shared" si="6"/>
        <v>-26.759090909090887</v>
      </c>
      <c r="Y23" s="28">
        <v>3</v>
      </c>
      <c r="Z23" s="18">
        <f t="shared" si="0"/>
        <v>-1.9090909090909092</v>
      </c>
      <c r="AA23" s="29">
        <f t="shared" si="11"/>
        <v>-14.31818181818182</v>
      </c>
      <c r="AB23" s="22">
        <f t="shared" si="7"/>
        <v>-28.150223992641934</v>
      </c>
      <c r="AC23" s="22">
        <f t="shared" si="8"/>
        <v>18.545969188011412</v>
      </c>
      <c r="AD23" s="22">
        <f t="shared" si="9"/>
        <v>-74.846417173295279</v>
      </c>
      <c r="AE23" s="22">
        <f t="shared" si="10"/>
        <v>30.348958414738107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D22+I24</f>
        <v>46.696193180653346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-17.2</v>
      </c>
      <c r="Q24" s="261">
        <f t="shared" si="2"/>
        <v>-33.200000000000003</v>
      </c>
      <c r="R24" s="210">
        <f t="shared" si="3"/>
        <v>-35.96363636363634</v>
      </c>
      <c r="S24" s="173">
        <f t="shared" si="4"/>
        <v>-10.227272727272728</v>
      </c>
      <c r="T24" s="28">
        <v>1.35</v>
      </c>
      <c r="U24" s="28">
        <f>-U4</f>
        <v>-1.5</v>
      </c>
      <c r="V24" s="29">
        <f>IF(Y24=11,$G$25-$G$26*W24/100,V23-$G$26*W24/100)</f>
        <v>9.5363636363636584</v>
      </c>
      <c r="W24" s="18">
        <f t="shared" si="5"/>
        <v>1.2272727272727273</v>
      </c>
      <c r="X24" s="21">
        <f t="shared" si="6"/>
        <v>-35.96363636363634</v>
      </c>
      <c r="Y24" s="28">
        <v>2</v>
      </c>
      <c r="Z24" s="18">
        <f t="shared" si="0"/>
        <v>-1.3636363636363635</v>
      </c>
      <c r="AA24" s="29">
        <f t="shared" si="11"/>
        <v>-10.227272727272727</v>
      </c>
      <c r="AB24" s="22">
        <f t="shared" si="7"/>
        <v>-15.874594258984228</v>
      </c>
      <c r="AC24" s="22">
        <f t="shared" si="8"/>
        <v>30.821598921669118</v>
      </c>
      <c r="AD24" s="22">
        <f t="shared" si="9"/>
        <v>-62.57078743963757</v>
      </c>
      <c r="AE24" s="22">
        <f t="shared" si="10"/>
        <v>37.389574053924214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156">
        <f>ROUND((G26*G27/100)*(G22/16.5),0)</f>
        <v>91</v>
      </c>
      <c r="O25" s="234">
        <v>0</v>
      </c>
      <c r="P25" s="262">
        <f>P49</f>
        <v>-31.20693511163736</v>
      </c>
      <c r="Q25" s="263">
        <f>Q49</f>
        <v>-33.111587109923555</v>
      </c>
      <c r="R25" s="210">
        <f t="shared" si="3"/>
        <v>-45.5</v>
      </c>
      <c r="S25" s="173">
        <f>IF(X25&lt;0,AE25*SIN(RADIANS(AB25)),AE25*SIN(RADIANS(AB25)))</f>
        <v>0</v>
      </c>
      <c r="T25" s="23"/>
      <c r="U25" s="24">
        <v>1.5</v>
      </c>
      <c r="V25" s="25">
        <v>0</v>
      </c>
      <c r="W25" s="23"/>
      <c r="X25" s="21">
        <f t="shared" si="6"/>
        <v>-45.5</v>
      </c>
      <c r="Y25" s="26">
        <v>1</v>
      </c>
      <c r="Z25" s="18">
        <f t="shared" si="0"/>
        <v>1.3636363636363635</v>
      </c>
      <c r="AA25" s="25">
        <f>AA4-(-AA24+AA4)/2</f>
        <v>0</v>
      </c>
      <c r="AB25" s="22">
        <f>DEGREES(ATAN(AA25/(ABS(X25))))</f>
        <v>0</v>
      </c>
      <c r="AC25" s="22">
        <f t="shared" si="8"/>
        <v>46.696193180653346</v>
      </c>
      <c r="AD25" s="22">
        <f t="shared" si="9"/>
        <v>-46.696193180653346</v>
      </c>
      <c r="AE25" s="22">
        <f t="shared" si="10"/>
        <v>45.5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31.20693511163736</v>
      </c>
      <c r="Q26" s="237">
        <f>Q36</f>
        <v>33.111587109923555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153">
        <v>13.4</v>
      </c>
      <c r="O27" s="235"/>
      <c r="P27" s="237">
        <f>P49</f>
        <v>-31.20693511163736</v>
      </c>
      <c r="Q27" s="237">
        <f>Q49</f>
        <v>-33.111587109923555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31.20693511163736</v>
      </c>
      <c r="Q36" s="236">
        <f t="shared" ref="Q36:Q53" si="13">IF(R36&lt;0,AE36*SIN(RADIANS(AD36)),AE36*SIN(RADIANS($AC36)))+O36</f>
        <v>33.111587109923555</v>
      </c>
      <c r="R36" s="224">
        <f t="shared" si="3"/>
        <v>45.5</v>
      </c>
      <c r="S36" s="225">
        <f t="shared" si="4"/>
        <v>0</v>
      </c>
      <c r="T36" s="202"/>
      <c r="U36" s="202"/>
      <c r="V36" s="202"/>
      <c r="W36" s="202"/>
      <c r="X36" s="203">
        <f>$AG$36*COS(RADIANS($AF36))+$R$14-$AG$36</f>
        <v>45.5</v>
      </c>
      <c r="Y36" s="204"/>
      <c r="Z36" s="204"/>
      <c r="AA36" s="203">
        <f>$S$14+($AG$36*SIN(RADIANS($AF36)))</f>
        <v>0</v>
      </c>
      <c r="AB36" s="205">
        <f t="shared" ref="AB36:AB53" si="14">DEGREES(ATAN(AA36/(ABS(X36))))</f>
        <v>0</v>
      </c>
      <c r="AC36" s="205">
        <f t="shared" ref="AC36:AC53" si="15">DEGREES(ATAN(AA36/(ABS(X36))))+$G$24</f>
        <v>46.696193180653346</v>
      </c>
      <c r="AD36" s="205">
        <f t="shared" ref="AD36:AD53" si="16">DEGREES(ATAN(AA36/(ABS(X36))))-$G$24</f>
        <v>-46.696193180653346</v>
      </c>
      <c r="AE36" s="205">
        <f t="shared" ref="AE36:AE53" si="17">SQRT(AA36*AA36+X36*X36)</f>
        <v>45.5</v>
      </c>
      <c r="AF36" s="206">
        <v>0</v>
      </c>
      <c r="AG36" s="207">
        <f>ROUND($Z$14*$G$26/100,1)</f>
        <v>6.8</v>
      </c>
      <c r="AI36" s="201"/>
    </row>
    <row r="37" spans="15:35" ht="18" customHeight="1" x14ac:dyDescent="0.25">
      <c r="O37" s="232"/>
      <c r="P37" s="236">
        <f t="shared" si="12"/>
        <v>26.341762656760505</v>
      </c>
      <c r="Q37" s="236">
        <f t="shared" si="13"/>
        <v>34.960062660255652</v>
      </c>
      <c r="R37" s="226">
        <f t="shared" si="3"/>
        <v>43.508326112068524</v>
      </c>
      <c r="S37" s="227">
        <f t="shared" si="4"/>
        <v>4.8083261120685226</v>
      </c>
      <c r="T37" s="3"/>
      <c r="U37" s="3"/>
      <c r="V37" s="3"/>
      <c r="W37" s="3"/>
      <c r="X37" s="208">
        <f>$AG$36*COS(RADIANS($AF37))+$R$14-$AG$36</f>
        <v>43.508326112068524</v>
      </c>
      <c r="Y37" s="209"/>
      <c r="Z37" s="209"/>
      <c r="AA37" s="208">
        <f>$S$14+($AG$36*SIN(RADIANS($AF37)))</f>
        <v>4.8083261120685226</v>
      </c>
      <c r="AB37" s="210">
        <f t="shared" si="14"/>
        <v>6.3064559024221074</v>
      </c>
      <c r="AC37" s="210">
        <f t="shared" si="15"/>
        <v>53.002649083075454</v>
      </c>
      <c r="AD37" s="210">
        <f t="shared" si="16"/>
        <v>-40.389737278231237</v>
      </c>
      <c r="AE37" s="210">
        <f t="shared" si="17"/>
        <v>43.773216023889582</v>
      </c>
      <c r="AF37" s="211">
        <v>45</v>
      </c>
      <c r="AG37" s="212" t="str">
        <f>CONCATENATE("r1=",$AG$36)</f>
        <v>r1=6,8</v>
      </c>
      <c r="AH37" s="201"/>
      <c r="AI37" s="201"/>
    </row>
    <row r="38" spans="15:35" ht="18" customHeight="1" x14ac:dyDescent="0.25">
      <c r="O38" s="232"/>
      <c r="P38" s="236">
        <f t="shared" si="12"/>
        <v>21.594496625777705</v>
      </c>
      <c r="Q38" s="236">
        <f>IF(R38&lt;0,AE38*SIN(RADIANS(AD38)),AE38*SIN(RADIANS($AC38)))+O38</f>
        <v>32.8269358222676</v>
      </c>
      <c r="R38" s="226">
        <f t="shared" si="3"/>
        <v>38.700000000000003</v>
      </c>
      <c r="S38" s="227">
        <f t="shared" si="4"/>
        <v>6.8</v>
      </c>
      <c r="T38" s="3"/>
      <c r="U38" s="3"/>
      <c r="V38" s="3"/>
      <c r="W38" s="3"/>
      <c r="X38" s="208">
        <f>$AG$36*COS(RADIANS($AF38))+$R$14-$AG$36</f>
        <v>38.700000000000003</v>
      </c>
      <c r="Y38" s="209"/>
      <c r="Z38" s="209"/>
      <c r="AA38" s="208">
        <f>$S$14+($AG$36*SIN(RADIANS($AF38)))</f>
        <v>6.8</v>
      </c>
      <c r="AB38" s="210">
        <f t="shared" si="14"/>
        <v>9.9657449723572551</v>
      </c>
      <c r="AC38" s="210">
        <f t="shared" si="15"/>
        <v>56.661938153010603</v>
      </c>
      <c r="AD38" s="210">
        <f t="shared" si="16"/>
        <v>-36.730448208296089</v>
      </c>
      <c r="AE38" s="210">
        <f t="shared" si="17"/>
        <v>39.292874672133628</v>
      </c>
      <c r="AF38" s="211">
        <v>90</v>
      </c>
      <c r="AG38" s="213"/>
    </row>
    <row r="39" spans="15:35" x14ac:dyDescent="0.25">
      <c r="O39" s="232"/>
      <c r="P39" s="236">
        <f t="shared" si="12"/>
        <v>19.746021075445604</v>
      </c>
      <c r="Q39" s="236">
        <f t="shared" si="13"/>
        <v>27.961763367390741</v>
      </c>
      <c r="R39" s="226">
        <f t="shared" si="3"/>
        <v>33.891673887931482</v>
      </c>
      <c r="S39" s="227">
        <f t="shared" si="4"/>
        <v>4.8083261120685235</v>
      </c>
      <c r="T39" s="3"/>
      <c r="U39" s="3"/>
      <c r="V39" s="3"/>
      <c r="W39" s="3"/>
      <c r="X39" s="208">
        <f>$AG$36*COS(RADIANS($AF39))+$R$14-$AG$36</f>
        <v>33.891673887931482</v>
      </c>
      <c r="Y39" s="209"/>
      <c r="Z39" s="209"/>
      <c r="AA39" s="208">
        <f>$S$14+($AG$36*SIN(RADIANS($AF39)))</f>
        <v>4.8083261120685235</v>
      </c>
      <c r="AB39" s="210">
        <f t="shared" si="14"/>
        <v>8.0748562534917294</v>
      </c>
      <c r="AC39" s="210">
        <f t="shared" si="15"/>
        <v>54.771049434145077</v>
      </c>
      <c r="AD39" s="210">
        <f t="shared" si="16"/>
        <v>-38.621336927161614</v>
      </c>
      <c r="AE39" s="210">
        <f t="shared" si="17"/>
        <v>34.23106131755042</v>
      </c>
      <c r="AF39" s="211">
        <v>135</v>
      </c>
      <c r="AG39" s="213"/>
    </row>
    <row r="40" spans="15:35" x14ac:dyDescent="0.25">
      <c r="O40" s="232"/>
      <c r="P40" s="236">
        <f t="shared" si="12"/>
        <v>21.879147913433666</v>
      </c>
      <c r="Q40" s="236">
        <f t="shared" si="13"/>
        <v>23.214497336407945</v>
      </c>
      <c r="R40" s="226">
        <f t="shared" si="3"/>
        <v>31.900000000000002</v>
      </c>
      <c r="S40" s="227">
        <f t="shared" si="4"/>
        <v>8.3310094933786161E-16</v>
      </c>
      <c r="T40" s="3"/>
      <c r="U40" s="3"/>
      <c r="V40" s="3"/>
      <c r="W40" s="3"/>
      <c r="X40" s="208">
        <f>$AG$36*COS(RADIANS($AF40))+$R$14-$AG$36</f>
        <v>31.900000000000002</v>
      </c>
      <c r="Y40" s="209"/>
      <c r="Z40" s="209"/>
      <c r="AA40" s="208">
        <f>$S$14+($AG$36*SIN(RADIANS($AF40)))</f>
        <v>8.3310094933786161E-16</v>
      </c>
      <c r="AB40" s="210">
        <f t="shared" si="14"/>
        <v>1.4963375644326546E-15</v>
      </c>
      <c r="AC40" s="210">
        <f t="shared" si="15"/>
        <v>46.696193180653346</v>
      </c>
      <c r="AD40" s="210">
        <f t="shared" si="16"/>
        <v>-46.696193180653346</v>
      </c>
      <c r="AE40" s="210">
        <f t="shared" si="17"/>
        <v>31.900000000000002</v>
      </c>
      <c r="AF40" s="211">
        <v>180</v>
      </c>
      <c r="AG40" s="213"/>
    </row>
    <row r="41" spans="15:35" x14ac:dyDescent="0.25">
      <c r="O41" s="232"/>
      <c r="P41" s="236">
        <f t="shared" si="12"/>
        <v>26.744320368310529</v>
      </c>
      <c r="Q41" s="236">
        <f t="shared" si="13"/>
        <v>21.366021786075837</v>
      </c>
      <c r="R41" s="226">
        <f t="shared" si="3"/>
        <v>33.891673887931482</v>
      </c>
      <c r="S41" s="227">
        <f t="shared" si="4"/>
        <v>-4.8083261120685235</v>
      </c>
      <c r="T41" s="3"/>
      <c r="U41" s="3"/>
      <c r="V41" s="3"/>
      <c r="W41" s="3"/>
      <c r="X41" s="208">
        <f>$AG$36*COS(RADIANS($AF41))+$R$14-$AG$36</f>
        <v>33.891673887931482</v>
      </c>
      <c r="Y41" s="209"/>
      <c r="Z41" s="209"/>
      <c r="AA41" s="208">
        <f>$S$14+($AG$36*SIN(RADIANS($AF41)))</f>
        <v>-4.8083261120685235</v>
      </c>
      <c r="AB41" s="210">
        <f t="shared" si="14"/>
        <v>-8.0748562534917294</v>
      </c>
      <c r="AC41" s="210">
        <f t="shared" si="15"/>
        <v>38.621336927161614</v>
      </c>
      <c r="AD41" s="210">
        <f t="shared" si="16"/>
        <v>-54.771049434145077</v>
      </c>
      <c r="AE41" s="210">
        <f t="shared" si="17"/>
        <v>34.23106131755042</v>
      </c>
      <c r="AF41" s="211">
        <v>-135</v>
      </c>
      <c r="AG41" s="213"/>
    </row>
    <row r="42" spans="15:35" x14ac:dyDescent="0.25">
      <c r="O42" s="232"/>
      <c r="P42" s="236">
        <f t="shared" si="12"/>
        <v>31.491586399293322</v>
      </c>
      <c r="Q42" s="236">
        <f t="shared" si="13"/>
        <v>23.499148624063899</v>
      </c>
      <c r="R42" s="226">
        <f t="shared" si="3"/>
        <v>38.700000000000003</v>
      </c>
      <c r="S42" s="227">
        <f t="shared" si="4"/>
        <v>-6.8</v>
      </c>
      <c r="T42" s="3"/>
      <c r="U42" s="3"/>
      <c r="V42" s="3"/>
      <c r="W42" s="3"/>
      <c r="X42" s="208">
        <f>$AG$36*COS(RADIANS($AF42))+$R$14-$AG$36</f>
        <v>38.700000000000003</v>
      </c>
      <c r="Y42" s="209"/>
      <c r="Z42" s="209"/>
      <c r="AA42" s="208">
        <f>$S$14+($AG$36*SIN(RADIANS($AF42)))</f>
        <v>-6.8</v>
      </c>
      <c r="AB42" s="210">
        <f t="shared" si="14"/>
        <v>-9.9657449723572551</v>
      </c>
      <c r="AC42" s="210">
        <f t="shared" si="15"/>
        <v>36.730448208296089</v>
      </c>
      <c r="AD42" s="210">
        <f t="shared" si="16"/>
        <v>-56.661938153010603</v>
      </c>
      <c r="AE42" s="210">
        <f t="shared" si="17"/>
        <v>39.292874672133628</v>
      </c>
      <c r="AF42" s="211">
        <v>-90</v>
      </c>
      <c r="AG42" s="213"/>
    </row>
    <row r="43" spans="15:35" x14ac:dyDescent="0.25">
      <c r="O43" s="232"/>
      <c r="P43" s="236">
        <f t="shared" si="12"/>
        <v>33.340061949625422</v>
      </c>
      <c r="Q43" s="236">
        <f t="shared" si="13"/>
        <v>28.364321078940751</v>
      </c>
      <c r="R43" s="226">
        <f t="shared" si="3"/>
        <v>43.508326112068524</v>
      </c>
      <c r="S43" s="227">
        <f t="shared" si="4"/>
        <v>-4.8083261120685226</v>
      </c>
      <c r="T43" s="3"/>
      <c r="U43" s="3"/>
      <c r="V43" s="3"/>
      <c r="W43" s="3"/>
      <c r="X43" s="208">
        <f>$AG$36*COS(RADIANS($AF43))+$R$14-$AG$36</f>
        <v>43.508326112068524</v>
      </c>
      <c r="Y43" s="209"/>
      <c r="Z43" s="209"/>
      <c r="AA43" s="208">
        <f>$S$14+($AG$36*SIN(RADIANS($AF43)))</f>
        <v>-4.8083261120685226</v>
      </c>
      <c r="AB43" s="210">
        <f t="shared" si="14"/>
        <v>-6.3064559024221074</v>
      </c>
      <c r="AC43" s="210">
        <f t="shared" si="15"/>
        <v>40.389737278231237</v>
      </c>
      <c r="AD43" s="210">
        <f t="shared" si="16"/>
        <v>-53.002649083075454</v>
      </c>
      <c r="AE43" s="210">
        <f t="shared" si="17"/>
        <v>43.773216023889582</v>
      </c>
      <c r="AF43" s="211">
        <v>-45</v>
      </c>
      <c r="AG43" s="213"/>
    </row>
    <row r="44" spans="15:35" x14ac:dyDescent="0.25">
      <c r="O44" s="232"/>
      <c r="P44" s="236">
        <f t="shared" si="12"/>
        <v>31.20693511163736</v>
      </c>
      <c r="Q44" s="236">
        <f t="shared" si="13"/>
        <v>33.111587109923555</v>
      </c>
      <c r="R44" s="228">
        <f t="shared" si="3"/>
        <v>45.5</v>
      </c>
      <c r="S44" s="229">
        <f t="shared" si="4"/>
        <v>0</v>
      </c>
      <c r="T44" s="214"/>
      <c r="U44" s="214"/>
      <c r="V44" s="214"/>
      <c r="W44" s="214"/>
      <c r="X44" s="215">
        <f>$AG$36*COS(RADIANS($AF44))+$R$14-$AG$36</f>
        <v>45.5</v>
      </c>
      <c r="Y44" s="216"/>
      <c r="Z44" s="216"/>
      <c r="AA44" s="215">
        <f>$S$14+($AG$36*SIN(RADIANS($AF44)))</f>
        <v>0</v>
      </c>
      <c r="AB44" s="217">
        <f t="shared" si="14"/>
        <v>0</v>
      </c>
      <c r="AC44" s="217">
        <f t="shared" si="15"/>
        <v>46.696193180653346</v>
      </c>
      <c r="AD44" s="217">
        <f t="shared" si="16"/>
        <v>-46.696193180653346</v>
      </c>
      <c r="AE44" s="217">
        <f t="shared" si="17"/>
        <v>45.5</v>
      </c>
      <c r="AF44" s="218">
        <v>0</v>
      </c>
      <c r="AG44" s="219"/>
    </row>
    <row r="45" spans="15:35" x14ac:dyDescent="0.25">
      <c r="O45" s="232"/>
      <c r="P45" s="236">
        <f t="shared" si="12"/>
        <v>-17.215254314331816</v>
      </c>
      <c r="Q45" s="236">
        <f t="shared" si="13"/>
        <v>-18.265952449650133</v>
      </c>
      <c r="R45" s="224">
        <f t="shared" si="3"/>
        <v>-25.099999999999998</v>
      </c>
      <c r="S45" s="225">
        <f t="shared" si="4"/>
        <v>0</v>
      </c>
      <c r="T45" s="202"/>
      <c r="U45" s="202"/>
      <c r="V45" s="202"/>
      <c r="W45" s="202"/>
      <c r="X45" s="203">
        <f>$AG$45*COS(RADIANS(AF45))+$R$25+$AG$45</f>
        <v>-25.099999999999998</v>
      </c>
      <c r="Y45" s="220"/>
      <c r="Z45" s="220"/>
      <c r="AA45" s="203">
        <f>$S$25+($AG$45*SIN(RADIANS($AF45)))</f>
        <v>0</v>
      </c>
      <c r="AB45" s="205">
        <f t="shared" si="14"/>
        <v>0</v>
      </c>
      <c r="AC45" s="205">
        <f t="shared" si="15"/>
        <v>46.696193180653346</v>
      </c>
      <c r="AD45" s="205">
        <f t="shared" si="16"/>
        <v>-46.696193180653346</v>
      </c>
      <c r="AE45" s="205">
        <f t="shared" si="17"/>
        <v>25.099999999999998</v>
      </c>
      <c r="AF45" s="206">
        <v>0</v>
      </c>
      <c r="AG45" s="207">
        <f>ROUND($Z$25*$G$26/100,1)</f>
        <v>10.199999999999999</v>
      </c>
    </row>
    <row r="46" spans="15:35" x14ac:dyDescent="0.25">
      <c r="O46" s="232"/>
      <c r="P46" s="236">
        <f t="shared" si="12"/>
        <v>-24.513012996647102</v>
      </c>
      <c r="Q46" s="236">
        <f t="shared" si="13"/>
        <v>-15.49323912415198</v>
      </c>
      <c r="R46" s="226">
        <f t="shared" si="3"/>
        <v>-28.087510831897216</v>
      </c>
      <c r="S46" s="227">
        <f t="shared" si="4"/>
        <v>7.212489168102783</v>
      </c>
      <c r="T46" s="3"/>
      <c r="U46" s="3"/>
      <c r="V46" s="3"/>
      <c r="W46" s="3"/>
      <c r="X46" s="208">
        <f>$AG$45*COS(RADIANS(AF46))+$R$25+$AG$45</f>
        <v>-28.087510831897216</v>
      </c>
      <c r="Y46" s="221"/>
      <c r="Z46" s="221"/>
      <c r="AA46" s="208">
        <f>$S$25+($AG$45*SIN(RADIANS($AF46)))</f>
        <v>7.2124891681027838</v>
      </c>
      <c r="AB46" s="210">
        <f t="shared" si="14"/>
        <v>14.401611578760068</v>
      </c>
      <c r="AC46" s="210">
        <f t="shared" si="15"/>
        <v>61.097804759413414</v>
      </c>
      <c r="AD46" s="210">
        <f t="shared" si="16"/>
        <v>-32.294581601893277</v>
      </c>
      <c r="AE46" s="210">
        <f t="shared" si="17"/>
        <v>28.998763158658051</v>
      </c>
      <c r="AF46" s="211">
        <v>45</v>
      </c>
      <c r="AG46" s="212" t="str">
        <f>CONCATENATE("r2=",$AG$45)</f>
        <v>r2=10,2</v>
      </c>
    </row>
    <row r="47" spans="15:35" x14ac:dyDescent="0.25">
      <c r="O47" s="232"/>
      <c r="P47" s="236">
        <f t="shared" si="12"/>
        <v>-31.633912043121288</v>
      </c>
      <c r="Q47" s="236">
        <f t="shared" si="13"/>
        <v>-18.692929381134068</v>
      </c>
      <c r="R47" s="226">
        <f t="shared" si="3"/>
        <v>-35.29999999999999</v>
      </c>
      <c r="S47" s="227">
        <f t="shared" si="4"/>
        <v>10.199999999999998</v>
      </c>
      <c r="T47" s="3"/>
      <c r="U47" s="3"/>
      <c r="V47" s="3"/>
      <c r="W47" s="3"/>
      <c r="X47" s="208">
        <f>$AG$45*COS(RADIANS(AF47))+$R$25+$AG$45</f>
        <v>-35.299999999999997</v>
      </c>
      <c r="Y47" s="221"/>
      <c r="Z47" s="221"/>
      <c r="AA47" s="208">
        <f>$S$25+($AG$45*SIN(RADIANS($AF47)))</f>
        <v>10.199999999999999</v>
      </c>
      <c r="AB47" s="210">
        <f t="shared" si="14"/>
        <v>16.116747254032212</v>
      </c>
      <c r="AC47" s="210">
        <f t="shared" si="15"/>
        <v>62.812940434685558</v>
      </c>
      <c r="AD47" s="210">
        <f t="shared" si="16"/>
        <v>-30.579445926621133</v>
      </c>
      <c r="AE47" s="210">
        <f t="shared" si="17"/>
        <v>36.744115175086193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-34.406625368619459</v>
      </c>
      <c r="Q48" s="236">
        <f t="shared" si="13"/>
        <v>-25.990688063449362</v>
      </c>
      <c r="R48" s="226">
        <f t="shared" si="3"/>
        <v>-42.512489168102789</v>
      </c>
      <c r="S48" s="227">
        <f t="shared" si="4"/>
        <v>7.2124891681027847</v>
      </c>
      <c r="T48" s="3"/>
      <c r="U48" s="3"/>
      <c r="V48" s="3"/>
      <c r="W48" s="3"/>
      <c r="X48" s="208">
        <f>$AG$45*COS(RADIANS(AF48))+$R$25+$AG$45</f>
        <v>-42.512489168102789</v>
      </c>
      <c r="Y48" s="221"/>
      <c r="Z48" s="221"/>
      <c r="AA48" s="208">
        <f>$S$25+($AG$45*SIN(RADIANS($AF48)))</f>
        <v>7.2124891681027847</v>
      </c>
      <c r="AB48" s="210">
        <f t="shared" si="14"/>
        <v>9.6288753924141304</v>
      </c>
      <c r="AC48" s="210">
        <f t="shared" si="15"/>
        <v>56.325068573067476</v>
      </c>
      <c r="AD48" s="210">
        <f t="shared" si="16"/>
        <v>-37.067317788239215</v>
      </c>
      <c r="AE48" s="210">
        <f t="shared" si="17"/>
        <v>43.119969100963615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-31.20693511163736</v>
      </c>
      <c r="Q49" s="236">
        <f t="shared" si="13"/>
        <v>-33.111587109923555</v>
      </c>
      <c r="R49" s="226">
        <f t="shared" si="3"/>
        <v>-45.5</v>
      </c>
      <c r="S49" s="227">
        <f t="shared" si="4"/>
        <v>1.2496514240067924E-15</v>
      </c>
      <c r="T49" s="3"/>
      <c r="U49" s="3"/>
      <c r="V49" s="3"/>
      <c r="W49" s="3"/>
      <c r="X49" s="208">
        <f>$AG$45*COS(RADIANS(AF49))+$R$25+$AG$45</f>
        <v>-45.5</v>
      </c>
      <c r="Y49" s="221"/>
      <c r="Z49" s="221"/>
      <c r="AA49" s="208">
        <f>$S$25+($AG$45*SIN(RADIANS($AF49)))</f>
        <v>1.2496514240067924E-15</v>
      </c>
      <c r="AB49" s="210">
        <f t="shared" si="14"/>
        <v>1.5736209331451105E-15</v>
      </c>
      <c r="AC49" s="210">
        <f t="shared" si="15"/>
        <v>46.696193180653346</v>
      </c>
      <c r="AD49" s="210">
        <f t="shared" si="16"/>
        <v>-46.696193180653346</v>
      </c>
      <c r="AE49" s="210">
        <f t="shared" si="17"/>
        <v>45.5</v>
      </c>
      <c r="AF49" s="211">
        <v>180</v>
      </c>
      <c r="AG49" s="213"/>
    </row>
    <row r="50" spans="15:33" x14ac:dyDescent="0.25">
      <c r="O50" s="232"/>
      <c r="P50" s="236">
        <f t="shared" si="12"/>
        <v>-23.909176429322073</v>
      </c>
      <c r="Q50" s="236">
        <f t="shared" si="13"/>
        <v>-35.884300435421707</v>
      </c>
      <c r="R50" s="226">
        <f t="shared" si="3"/>
        <v>-42.512489168102789</v>
      </c>
      <c r="S50" s="227">
        <f t="shared" si="4"/>
        <v>-7.2124891681027847</v>
      </c>
      <c r="T50" s="3"/>
      <c r="U50" s="3"/>
      <c r="V50" s="3"/>
      <c r="W50" s="3"/>
      <c r="X50" s="208">
        <f>$AG$45*COS(RADIANS(AF50))+$R$25+$AG$45</f>
        <v>-42.512489168102789</v>
      </c>
      <c r="Y50" s="221"/>
      <c r="Z50" s="221"/>
      <c r="AA50" s="208">
        <f>$S$25+($AG$45*SIN(RADIANS($AF50)))</f>
        <v>-7.2124891681027847</v>
      </c>
      <c r="AB50" s="210">
        <f t="shared" si="14"/>
        <v>-9.6288753924141304</v>
      </c>
      <c r="AC50" s="210">
        <f t="shared" si="15"/>
        <v>37.067317788239215</v>
      </c>
      <c r="AD50" s="210">
        <f t="shared" si="16"/>
        <v>-56.325068573067476</v>
      </c>
      <c r="AE50" s="210">
        <f t="shared" si="17"/>
        <v>43.119969100963615</v>
      </c>
      <c r="AF50" s="211">
        <v>-135</v>
      </c>
      <c r="AG50" s="213"/>
    </row>
    <row r="51" spans="15:33" x14ac:dyDescent="0.25">
      <c r="O51" s="232"/>
      <c r="P51" s="236">
        <f t="shared" si="12"/>
        <v>-16.788277382847877</v>
      </c>
      <c r="Q51" s="236">
        <f t="shared" si="13"/>
        <v>-32.684610178439605</v>
      </c>
      <c r="R51" s="226">
        <f t="shared" si="3"/>
        <v>-35.29999999999999</v>
      </c>
      <c r="S51" s="227">
        <f t="shared" si="4"/>
        <v>-10.199999999999998</v>
      </c>
      <c r="T51" s="3"/>
      <c r="U51" s="3"/>
      <c r="V51" s="3"/>
      <c r="W51" s="3"/>
      <c r="X51" s="208">
        <f>$AG$45*COS(RADIANS(AF51))+$R$25+$AG$45</f>
        <v>-35.299999999999997</v>
      </c>
      <c r="Y51" s="221"/>
      <c r="Z51" s="221"/>
      <c r="AA51" s="208">
        <f>$S$25+($AG$45*SIN(RADIANS($AF51)))</f>
        <v>-10.199999999999999</v>
      </c>
      <c r="AB51" s="210">
        <f t="shared" si="14"/>
        <v>-16.116747254032212</v>
      </c>
      <c r="AC51" s="210">
        <f t="shared" si="15"/>
        <v>30.579445926621133</v>
      </c>
      <c r="AD51" s="210">
        <f t="shared" si="16"/>
        <v>-62.812940434685558</v>
      </c>
      <c r="AE51" s="210">
        <f t="shared" si="17"/>
        <v>36.744115175086193</v>
      </c>
      <c r="AF51" s="211">
        <v>-90</v>
      </c>
      <c r="AG51" s="213"/>
    </row>
    <row r="52" spans="15:33" x14ac:dyDescent="0.25">
      <c r="O52" s="232"/>
      <c r="P52" s="236">
        <f t="shared" si="12"/>
        <v>-14.015564057349724</v>
      </c>
      <c r="Q52" s="236">
        <f t="shared" si="13"/>
        <v>-25.386851496124326</v>
      </c>
      <c r="R52" s="226">
        <f t="shared" si="3"/>
        <v>-28.087510831897216</v>
      </c>
      <c r="S52" s="227">
        <f t="shared" si="4"/>
        <v>-7.212489168102783</v>
      </c>
      <c r="T52" s="3"/>
      <c r="U52" s="3"/>
      <c r="V52" s="3"/>
      <c r="W52" s="3"/>
      <c r="X52" s="208">
        <f>$AG$45*COS(RADIANS(AF52))+$R$25+$AG$45</f>
        <v>-28.087510831897216</v>
      </c>
      <c r="Y52" s="221"/>
      <c r="Z52" s="221"/>
      <c r="AA52" s="208">
        <f>$S$25+($AG$45*SIN(RADIANS($AF52)))</f>
        <v>-7.2124891681027838</v>
      </c>
      <c r="AB52" s="210">
        <f t="shared" si="14"/>
        <v>-14.401611578760068</v>
      </c>
      <c r="AC52" s="210">
        <f t="shared" si="15"/>
        <v>32.294581601893277</v>
      </c>
      <c r="AD52" s="210">
        <f t="shared" si="16"/>
        <v>-61.097804759413414</v>
      </c>
      <c r="AE52" s="210">
        <f t="shared" si="17"/>
        <v>28.998763158658051</v>
      </c>
      <c r="AF52" s="211">
        <v>-45</v>
      </c>
      <c r="AG52" s="213"/>
    </row>
    <row r="53" spans="15:33" x14ac:dyDescent="0.25">
      <c r="O53" s="232"/>
      <c r="P53" s="236">
        <f t="shared" si="12"/>
        <v>-17.215254314331816</v>
      </c>
      <c r="Q53" s="236">
        <f t="shared" si="13"/>
        <v>-18.265952449650133</v>
      </c>
      <c r="R53" s="228">
        <f t="shared" si="3"/>
        <v>-25.099999999999998</v>
      </c>
      <c r="S53" s="229">
        <f t="shared" si="4"/>
        <v>0</v>
      </c>
      <c r="T53" s="214"/>
      <c r="U53" s="214"/>
      <c r="V53" s="214"/>
      <c r="W53" s="214"/>
      <c r="X53" s="215">
        <f>$AG$45*COS(RADIANS(AF53))+$R$25+$AG$45</f>
        <v>-25.099999999999998</v>
      </c>
      <c r="Y53" s="222"/>
      <c r="Z53" s="222"/>
      <c r="AA53" s="215">
        <f>$S$25+($AG$45*SIN(RADIANS($AF53)))</f>
        <v>0</v>
      </c>
      <c r="AB53" s="217">
        <f t="shared" si="14"/>
        <v>0</v>
      </c>
      <c r="AC53" s="217">
        <f t="shared" si="15"/>
        <v>46.696193180653346</v>
      </c>
      <c r="AD53" s="217">
        <f t="shared" si="16"/>
        <v>-46.696193180653346</v>
      </c>
      <c r="AE53" s="217">
        <f t="shared" si="17"/>
        <v>25.099999999999998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K31" activePane="bottomRight" state="frozen"/>
      <selection pane="topRight" activeCell="AH1" sqref="AH1"/>
      <selection pane="bottomLeft" activeCell="A31" sqref="A31"/>
      <selection pane="bottomRight" activeCell="K27" sqref="K27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-35.299999999999997</v>
      </c>
      <c r="Q4" s="255">
        <f>ROUND(IF(R4&lt;0,AE4*SIN(RADIANS(AD4)),AE4*SIN(RADIANS($AC4)))+O4,1)</f>
        <v>-11.8</v>
      </c>
      <c r="R4" s="210">
        <f>IF(X4&lt;0,-AE4*COS(RADIANS(AB4)),AE4*COS(RADIANS(AB4)))</f>
        <v>-36.795454545454554</v>
      </c>
      <c r="S4" s="173">
        <f>IF(X4&lt;0,AE4*SIN(RADIANS(AB4)),AE4*SIN(RADIANS(AB4)))</f>
        <v>5.7954545454545459</v>
      </c>
      <c r="T4" s="22">
        <v>1.35</v>
      </c>
      <c r="U4" s="19">
        <v>0.85</v>
      </c>
      <c r="V4" s="20">
        <f>IF(Y4=1,$G$26*W4/100,V3+$G$26*W4/100)</f>
        <v>9.204545454545455</v>
      </c>
      <c r="W4" s="18">
        <f>T4*$G$22/16.5</f>
        <v>1.2272727272727273</v>
      </c>
      <c r="X4" s="21">
        <f>V4-$G$25/2</f>
        <v>-36.795454545454547</v>
      </c>
      <c r="Y4" s="19">
        <v>2</v>
      </c>
      <c r="Z4" s="18">
        <f t="shared" ref="Z4:Z25" si="0">U4*$G$22/16.5</f>
        <v>0.77272727272727271</v>
      </c>
      <c r="AA4" s="20">
        <f>$G$26*Z4/100</f>
        <v>5.795454545454545</v>
      </c>
      <c r="AB4" s="22">
        <f>DEGREES(ATAN(AA4/(ABS(X4))))</f>
        <v>8.950817653374104</v>
      </c>
      <c r="AC4" s="22">
        <f>DEGREES(ATAN(AA4/(ABS(X4))))+$G$24</f>
        <v>36.421016711677503</v>
      </c>
      <c r="AD4" s="22">
        <f>DEGREES(ATAN(AA4/(ABS(X4))))-$G$24</f>
        <v>-18.519381404929298</v>
      </c>
      <c r="AE4" s="22">
        <f>SQRT(AA4*AA4+X4*X4)</f>
        <v>37.249063996227363</v>
      </c>
    </row>
    <row r="5" spans="15:31" x14ac:dyDescent="0.25">
      <c r="O5" s="234">
        <v>0</v>
      </c>
      <c r="P5" s="256">
        <f t="shared" ref="P5:P24" si="1">ROUND(IF(R5&lt;0,-AE5*COS(RADIANS(AD5)),AE5*COS(RADIANS(AC5))),1)</f>
        <v>-28.6</v>
      </c>
      <c r="Q5" s="257">
        <f t="shared" ref="Q5:Q24" si="2">ROUND(IF(R5&lt;0,AE5*SIN(RADIANS(AD5)),AE5*SIN(RADIANS($AC5)))+O5,1)</f>
        <v>-4.7</v>
      </c>
      <c r="R5" s="210">
        <f t="shared" ref="R5:R53" si="3">IF(X5&lt;0,-AE5*COS(RADIANS(AB5)),AE5*COS(RADIANS(AB5)))</f>
        <v>-27.59090909090909</v>
      </c>
      <c r="S5" s="173">
        <f t="shared" ref="S5:S53" si="4">IF(X5&lt;0,AE5*SIN(RADIANS(AB5)),AE5*SIN(RADIANS(AB5)))</f>
        <v>9.0272727272727273</v>
      </c>
      <c r="T5" s="22">
        <v>1.35</v>
      </c>
      <c r="U5" s="19">
        <v>1.3240000000000001</v>
      </c>
      <c r="V5" s="20">
        <f>IF(Y5=1,$G$26*W5/100,V4+$G$26*W5/100)</f>
        <v>18.40909090909091</v>
      </c>
      <c r="W5" s="18">
        <f t="shared" ref="W5:W24" si="5">T5*$G$22/16.5</f>
        <v>1.2272727272727273</v>
      </c>
      <c r="X5" s="21">
        <f t="shared" ref="X5:X25" si="6">V5-$G$25/2</f>
        <v>-27.59090909090909</v>
      </c>
      <c r="Y5" s="19">
        <v>3</v>
      </c>
      <c r="Z5" s="18">
        <f t="shared" si="0"/>
        <v>1.2036363636363636</v>
      </c>
      <c r="AA5" s="20">
        <f>$G$26*Z5/100</f>
        <v>9.0272727272727273</v>
      </c>
      <c r="AB5" s="22">
        <f t="shared" ref="AB5:AB24" si="7">DEGREES(ATAN(AA5/(ABS(X5))))</f>
        <v>18.117209591291694</v>
      </c>
      <c r="AC5" s="22">
        <f t="shared" ref="AC5:AC25" si="8">DEGREES(ATAN(AA5/(ABS(X5))))+$G$24</f>
        <v>45.587408649595091</v>
      </c>
      <c r="AD5" s="22">
        <f t="shared" ref="AD5:AD25" si="9">DEGREES(ATAN(AA5/(ABS(X5))))-$G$24</f>
        <v>-9.3529894670117066</v>
      </c>
      <c r="AE5" s="22">
        <f>SQRT(AA5*AA5+X5*X5)</f>
        <v>29.030155310562357</v>
      </c>
    </row>
    <row r="6" spans="15:31" x14ac:dyDescent="0.25">
      <c r="O6" s="234">
        <v>0</v>
      </c>
      <c r="P6" s="256">
        <f t="shared" si="1"/>
        <v>-21.8</v>
      </c>
      <c r="Q6" s="257">
        <f t="shared" si="2"/>
        <v>2</v>
      </c>
      <c r="R6" s="210">
        <f t="shared" si="3"/>
        <v>-18.386363636363633</v>
      </c>
      <c r="S6" s="173">
        <f t="shared" si="4"/>
        <v>11.863636363636363</v>
      </c>
      <c r="T6" s="22">
        <v>1.35</v>
      </c>
      <c r="U6" s="19">
        <v>1.74</v>
      </c>
      <c r="V6" s="20">
        <f>IF(Y6=1,$G$26*W6/100,V5+$G$26*W6/100)</f>
        <v>27.613636363636367</v>
      </c>
      <c r="W6" s="18">
        <f t="shared" si="5"/>
        <v>1.2272727272727273</v>
      </c>
      <c r="X6" s="21">
        <f t="shared" si="6"/>
        <v>-18.386363636363633</v>
      </c>
      <c r="Y6" s="19">
        <v>4</v>
      </c>
      <c r="Z6" s="18">
        <f t="shared" si="0"/>
        <v>1.581818181818182</v>
      </c>
      <c r="AA6" s="20">
        <f>$G$26*Z6/100</f>
        <v>11.863636363636365</v>
      </c>
      <c r="AB6" s="22">
        <f t="shared" si="7"/>
        <v>32.831767995948276</v>
      </c>
      <c r="AC6" s="22">
        <f t="shared" si="8"/>
        <v>60.301967054251676</v>
      </c>
      <c r="AD6" s="22">
        <f t="shared" si="9"/>
        <v>5.3615689376448756</v>
      </c>
      <c r="AE6" s="22">
        <f>SQRT(AA6*AA6+X6*X6)</f>
        <v>21.881595817882889</v>
      </c>
    </row>
    <row r="7" spans="15:31" x14ac:dyDescent="0.25">
      <c r="O7" s="234">
        <v>0</v>
      </c>
      <c r="P7" s="256">
        <f t="shared" si="1"/>
        <v>-14.8</v>
      </c>
      <c r="Q7" s="257">
        <f t="shared" si="2"/>
        <v>8.6</v>
      </c>
      <c r="R7" s="210">
        <f t="shared" si="3"/>
        <v>-9.1818181818181817</v>
      </c>
      <c r="S7" s="173">
        <f t="shared" si="4"/>
        <v>14.454545454545457</v>
      </c>
      <c r="T7" s="22">
        <v>1.35</v>
      </c>
      <c r="U7" s="19">
        <v>2.12</v>
      </c>
      <c r="V7" s="20">
        <f>IF(Y7=1,$G$26*W7/100,V6+$G$26*W7/100)</f>
        <v>36.81818181818182</v>
      </c>
      <c r="W7" s="18">
        <f t="shared" si="5"/>
        <v>1.2272727272727273</v>
      </c>
      <c r="X7" s="21">
        <f t="shared" si="6"/>
        <v>-9.1818181818181799</v>
      </c>
      <c r="Y7" s="19">
        <v>5</v>
      </c>
      <c r="Z7" s="18">
        <f t="shared" si="0"/>
        <v>1.9272727272727272</v>
      </c>
      <c r="AA7" s="20">
        <f>$G$26*Z7/100</f>
        <v>14.454545454545455</v>
      </c>
      <c r="AB7" s="22">
        <f t="shared" si="7"/>
        <v>57.575465499744439</v>
      </c>
      <c r="AC7" s="22">
        <f t="shared" si="8"/>
        <v>85.045664558047832</v>
      </c>
      <c r="AD7" s="22">
        <f t="shared" si="9"/>
        <v>30.105266441441039</v>
      </c>
      <c r="AE7" s="22">
        <f>SQRT(AA7*AA7+X7*X7)</f>
        <v>17.124242156121468</v>
      </c>
    </row>
    <row r="8" spans="15:31" x14ac:dyDescent="0.25">
      <c r="O8" s="234">
        <v>0</v>
      </c>
      <c r="P8" s="256">
        <f t="shared" si="1"/>
        <v>-7.6</v>
      </c>
      <c r="Q8" s="257">
        <f t="shared" si="2"/>
        <v>14.6</v>
      </c>
      <c r="R8" s="210">
        <f t="shared" si="3"/>
        <v>2.2727272727270025E-2</v>
      </c>
      <c r="S8" s="173">
        <f t="shared" si="4"/>
        <v>16.472727272727273</v>
      </c>
      <c r="T8" s="22">
        <v>1.35</v>
      </c>
      <c r="U8" s="19">
        <v>2.4159999999999999</v>
      </c>
      <c r="V8" s="20">
        <f>IF(Y8=1,$G$26*W8/100,V7+$G$26*W8/100)</f>
        <v>46.022727272727273</v>
      </c>
      <c r="W8" s="18">
        <f t="shared" si="5"/>
        <v>1.2272727272727273</v>
      </c>
      <c r="X8" s="21">
        <f t="shared" si="6"/>
        <v>2.2727272727273373E-2</v>
      </c>
      <c r="Y8" s="19">
        <v>6</v>
      </c>
      <c r="Z8" s="18">
        <f t="shared" si="0"/>
        <v>2.1963636363636363</v>
      </c>
      <c r="AA8" s="20">
        <f>$G$26*Z8/100</f>
        <v>16.472727272727273</v>
      </c>
      <c r="AB8" s="22">
        <f t="shared" si="7"/>
        <v>89.920949581735584</v>
      </c>
      <c r="AC8" s="22">
        <f t="shared" si="8"/>
        <v>117.39114864003898</v>
      </c>
      <c r="AD8" s="22">
        <f t="shared" si="9"/>
        <v>62.450750523432184</v>
      </c>
      <c r="AE8" s="22">
        <f>SQRT(AA8*AA8+X8*X8)</f>
        <v>16.472742951026053</v>
      </c>
    </row>
    <row r="9" spans="15:31" x14ac:dyDescent="0.25">
      <c r="O9" s="234">
        <v>0</v>
      </c>
      <c r="P9" s="256">
        <f t="shared" si="1"/>
        <v>0</v>
      </c>
      <c r="Q9" s="257">
        <f t="shared" si="2"/>
        <v>20</v>
      </c>
      <c r="R9" s="210">
        <f t="shared" si="3"/>
        <v>9.2272727272727266</v>
      </c>
      <c r="S9" s="173">
        <f t="shared" si="4"/>
        <v>17.754545454545454</v>
      </c>
      <c r="T9" s="22">
        <v>1.35</v>
      </c>
      <c r="U9" s="19">
        <v>2.6040000000000001</v>
      </c>
      <c r="V9" s="20">
        <f>IF(Y9=1,$G$26*W9/100,V8+$G$26*W9/100)</f>
        <v>55.227272727272727</v>
      </c>
      <c r="W9" s="18">
        <f t="shared" si="5"/>
        <v>1.2272727272727273</v>
      </c>
      <c r="X9" s="21">
        <f t="shared" si="6"/>
        <v>9.2272727272727266</v>
      </c>
      <c r="Y9" s="19">
        <v>7</v>
      </c>
      <c r="Z9" s="18">
        <f t="shared" si="0"/>
        <v>2.3672727272727272</v>
      </c>
      <c r="AA9" s="20">
        <f>$G$26*Z9/100</f>
        <v>17.754545454545454</v>
      </c>
      <c r="AB9" s="22">
        <f t="shared" si="7"/>
        <v>62.538501958043391</v>
      </c>
      <c r="AC9" s="22">
        <f t="shared" si="8"/>
        <v>90.008701016346791</v>
      </c>
      <c r="AD9" s="22">
        <f t="shared" si="9"/>
        <v>35.06830289973999</v>
      </c>
      <c r="AE9" s="22">
        <f>SQRT(AA9*AA9+X9*X9)</f>
        <v>20.009159059815374</v>
      </c>
    </row>
    <row r="10" spans="15:31" x14ac:dyDescent="0.25">
      <c r="O10" s="234">
        <v>0</v>
      </c>
      <c r="P10" s="256">
        <f t="shared" si="1"/>
        <v>8.1</v>
      </c>
      <c r="Q10" s="257">
        <f t="shared" si="2"/>
        <v>24.4</v>
      </c>
      <c r="R10" s="210">
        <f t="shared" si="3"/>
        <v>18.431818181818187</v>
      </c>
      <c r="S10" s="173">
        <f t="shared" si="4"/>
        <v>17.877272727272722</v>
      </c>
      <c r="T10" s="22">
        <v>1.35</v>
      </c>
      <c r="U10" s="19">
        <v>2.6219999999999999</v>
      </c>
      <c r="V10" s="20">
        <f>IF(Y10=1,$G$26*W10/100,V9+$G$26*W10/100)</f>
        <v>64.431818181818187</v>
      </c>
      <c r="W10" s="18">
        <f t="shared" si="5"/>
        <v>1.2272727272727273</v>
      </c>
      <c r="X10" s="21">
        <f t="shared" si="6"/>
        <v>18.431818181818187</v>
      </c>
      <c r="Y10" s="19">
        <v>8</v>
      </c>
      <c r="Z10" s="18">
        <f t="shared" si="0"/>
        <v>2.3836363636363633</v>
      </c>
      <c r="AA10" s="20">
        <f>$G$26*Z10/100</f>
        <v>17.877272727272725</v>
      </c>
      <c r="AB10" s="22">
        <f t="shared" si="7"/>
        <v>44.124994783408575</v>
      </c>
      <c r="AC10" s="22">
        <f t="shared" si="8"/>
        <v>71.595193841711975</v>
      </c>
      <c r="AD10" s="22">
        <f t="shared" si="9"/>
        <v>16.654795725105174</v>
      </c>
      <c r="AE10" s="22">
        <f>SQRT(AA10*AA10+X10*X10)</f>
        <v>25.677398654320353</v>
      </c>
    </row>
    <row r="11" spans="15:31" x14ac:dyDescent="0.25">
      <c r="O11" s="234">
        <v>0</v>
      </c>
      <c r="P11" s="256">
        <f t="shared" si="1"/>
        <v>16.899999999999999</v>
      </c>
      <c r="Q11" s="257">
        <f t="shared" si="2"/>
        <v>27.4</v>
      </c>
      <c r="R11" s="210">
        <f t="shared" si="3"/>
        <v>27.63636363636364</v>
      </c>
      <c r="S11" s="173">
        <f t="shared" si="4"/>
        <v>16.513636363636365</v>
      </c>
      <c r="T11" s="22">
        <v>1.35</v>
      </c>
      <c r="U11" s="19">
        <v>2.4220000000000002</v>
      </c>
      <c r="V11" s="20">
        <f>IF(Y11=1,$G$26*W11/100,V10+$G$26*W11/100)</f>
        <v>73.63636363636364</v>
      </c>
      <c r="W11" s="18">
        <f t="shared" si="5"/>
        <v>1.2272727272727273</v>
      </c>
      <c r="X11" s="21">
        <f t="shared" si="6"/>
        <v>27.63636363636364</v>
      </c>
      <c r="Y11" s="19">
        <v>9</v>
      </c>
      <c r="Z11" s="18">
        <f t="shared" si="0"/>
        <v>2.2018181818181821</v>
      </c>
      <c r="AA11" s="20">
        <f>$G$26*Z11/100</f>
        <v>16.513636363636365</v>
      </c>
      <c r="AB11" s="22">
        <f t="shared" si="7"/>
        <v>30.859706101323823</v>
      </c>
      <c r="AC11" s="22">
        <f t="shared" si="8"/>
        <v>58.329905159627224</v>
      </c>
      <c r="AD11" s="22">
        <f t="shared" si="9"/>
        <v>3.3895070430204228</v>
      </c>
      <c r="AE11" s="22">
        <f>SQRT(AA11*AA11+X11*X11)</f>
        <v>32.194235213648668</v>
      </c>
    </row>
    <row r="12" spans="15:31" x14ac:dyDescent="0.25">
      <c r="O12" s="234">
        <v>0</v>
      </c>
      <c r="P12" s="256">
        <f t="shared" si="1"/>
        <v>26.6</v>
      </c>
      <c r="Q12" s="257">
        <f t="shared" si="2"/>
        <v>28.8</v>
      </c>
      <c r="R12" s="210">
        <f t="shared" si="3"/>
        <v>36.840909090909093</v>
      </c>
      <c r="S12" s="173">
        <f t="shared" si="4"/>
        <v>13.254545454545458</v>
      </c>
      <c r="T12" s="22">
        <v>1.35</v>
      </c>
      <c r="U12" s="19">
        <v>1.944</v>
      </c>
      <c r="V12" s="20">
        <f>IF(Y12=1,$G$26*W12/100,V11+$G$26*W12/100)</f>
        <v>82.840909090909093</v>
      </c>
      <c r="W12" s="18">
        <f t="shared" si="5"/>
        <v>1.2272727272727273</v>
      </c>
      <c r="X12" s="21">
        <f t="shared" si="6"/>
        <v>36.840909090909093</v>
      </c>
      <c r="Y12" s="19">
        <v>10</v>
      </c>
      <c r="Z12" s="18">
        <f t="shared" si="0"/>
        <v>1.7672727272727273</v>
      </c>
      <c r="AA12" s="20">
        <f>$G$26*Z12/100</f>
        <v>13.254545454545456</v>
      </c>
      <c r="AB12" s="22">
        <f t="shared" si="7"/>
        <v>19.787610914273678</v>
      </c>
      <c r="AC12" s="22">
        <f t="shared" si="8"/>
        <v>47.257809972577078</v>
      </c>
      <c r="AD12" s="22">
        <f t="shared" si="9"/>
        <v>-7.6825881440297223</v>
      </c>
      <c r="AE12" s="22">
        <f t="shared" ref="AE12:AE25" si="10">SQRT(AA12*AA12+X12*X12)</f>
        <v>39.152720950800344</v>
      </c>
    </row>
    <row r="13" spans="15:31" x14ac:dyDescent="0.25">
      <c r="O13" s="234">
        <v>2</v>
      </c>
      <c r="P13" s="256">
        <f t="shared" si="1"/>
        <v>32</v>
      </c>
      <c r="Q13" s="257">
        <f t="shared" si="2"/>
        <v>28.7</v>
      </c>
      <c r="R13" s="210">
        <f t="shared" si="3"/>
        <v>40.75454545454545</v>
      </c>
      <c r="S13" s="173">
        <f t="shared" si="4"/>
        <v>8.918181818181818</v>
      </c>
      <c r="T13" s="18">
        <v>0.57399999999999995</v>
      </c>
      <c r="U13" s="19">
        <v>1.3080000000000001</v>
      </c>
      <c r="V13" s="20">
        <f>IF(Y13=1,$G$26*W13/100,V12+$G$26*W13/100)</f>
        <v>86.75454545454545</v>
      </c>
      <c r="W13" s="18">
        <f t="shared" si="5"/>
        <v>0.52181818181818174</v>
      </c>
      <c r="X13" s="21">
        <f t="shared" si="6"/>
        <v>40.75454545454545</v>
      </c>
      <c r="Y13" s="19">
        <v>11</v>
      </c>
      <c r="Z13" s="18">
        <f t="shared" si="0"/>
        <v>1.1890909090909092</v>
      </c>
      <c r="AA13" s="21">
        <f>$G$26*Z13/100</f>
        <v>8.918181818181818</v>
      </c>
      <c r="AB13" s="22">
        <f t="shared" si="7"/>
        <v>12.343279940616856</v>
      </c>
      <c r="AC13" s="22">
        <f t="shared" si="8"/>
        <v>39.81347899892026</v>
      </c>
      <c r="AD13" s="22">
        <f t="shared" si="9"/>
        <v>-15.126919117686544</v>
      </c>
      <c r="AE13" s="22">
        <f t="shared" si="10"/>
        <v>41.71890389438294</v>
      </c>
    </row>
    <row r="14" spans="15:31" ht="15.75" x14ac:dyDescent="0.25">
      <c r="O14" s="234">
        <v>0</v>
      </c>
      <c r="P14" s="258">
        <f>P36</f>
        <v>38.913875940833705</v>
      </c>
      <c r="Q14" s="259">
        <f>Q36</f>
        <v>24.873071397577885</v>
      </c>
      <c r="R14" s="210">
        <f t="shared" si="3"/>
        <v>46</v>
      </c>
      <c r="S14" s="173">
        <f t="shared" si="4"/>
        <v>4.1181818181818182</v>
      </c>
      <c r="T14" s="23"/>
      <c r="U14" s="24">
        <f>0.83</f>
        <v>0.83</v>
      </c>
      <c r="V14" s="25">
        <f>G25</f>
        <v>92</v>
      </c>
      <c r="W14" s="18">
        <f t="shared" si="5"/>
        <v>0</v>
      </c>
      <c r="X14" s="21">
        <f t="shared" si="6"/>
        <v>46</v>
      </c>
      <c r="Y14" s="26">
        <v>12</v>
      </c>
      <c r="Z14" s="18">
        <f>U14*$G$22/16.5</f>
        <v>0.75454545454545452</v>
      </c>
      <c r="AA14" s="240">
        <f>AA13-(AA13-AA15)/2</f>
        <v>4.1181818181818182</v>
      </c>
      <c r="AB14" s="22">
        <f t="shared" si="7"/>
        <v>5.1158059103302858</v>
      </c>
      <c r="AC14" s="22">
        <f t="shared" si="8"/>
        <v>32.586004968633688</v>
      </c>
      <c r="AD14" s="22">
        <f t="shared" si="9"/>
        <v>-22.354393147973113</v>
      </c>
      <c r="AE14" s="22">
        <f t="shared" si="10"/>
        <v>46.183973643327867</v>
      </c>
    </row>
    <row r="15" spans="15:31" x14ac:dyDescent="0.25">
      <c r="O15" s="234">
        <v>0</v>
      </c>
      <c r="P15" s="260">
        <f t="shared" si="1"/>
        <v>37.700000000000003</v>
      </c>
      <c r="Q15" s="261">
        <f t="shared" si="2"/>
        <v>18.8</v>
      </c>
      <c r="R15" s="210">
        <f t="shared" si="3"/>
        <v>42.08636363636365</v>
      </c>
      <c r="S15" s="173">
        <f t="shared" si="4"/>
        <v>-0.68181818181818188</v>
      </c>
      <c r="T15" s="27">
        <v>0.57399999999999995</v>
      </c>
      <c r="U15" s="28">
        <v>-0.1</v>
      </c>
      <c r="V15" s="29">
        <f>IF(Y15=11,$G$25-$G$26*W15/100,V14-$G$26*W15/100)</f>
        <v>88.086363636363643</v>
      </c>
      <c r="W15" s="18">
        <f t="shared" si="5"/>
        <v>0.52181818181818174</v>
      </c>
      <c r="X15" s="21">
        <f t="shared" si="6"/>
        <v>42.086363636363643</v>
      </c>
      <c r="Y15" s="28">
        <v>11</v>
      </c>
      <c r="Z15" s="18">
        <f t="shared" si="0"/>
        <v>-9.0909090909090912E-2</v>
      </c>
      <c r="AA15" s="30">
        <f t="shared" ref="AA15:AA24" si="11">$G$26*Z15/100</f>
        <v>-0.68181818181818188</v>
      </c>
      <c r="AB15" s="22">
        <f t="shared" si="7"/>
        <v>-0.92813642596577228</v>
      </c>
      <c r="AC15" s="22">
        <f t="shared" si="8"/>
        <v>26.542062632337629</v>
      </c>
      <c r="AD15" s="22">
        <f t="shared" si="9"/>
        <v>-28.398335484269172</v>
      </c>
      <c r="AE15" s="22">
        <f t="shared" si="10"/>
        <v>42.091886155948039</v>
      </c>
    </row>
    <row r="16" spans="15:31" x14ac:dyDescent="0.25">
      <c r="O16" s="234">
        <v>4.5</v>
      </c>
      <c r="P16" s="260">
        <f t="shared" si="1"/>
        <v>36.799999999999997</v>
      </c>
      <c r="Q16" s="261">
        <f t="shared" si="2"/>
        <v>16.5</v>
      </c>
      <c r="R16" s="210">
        <f t="shared" si="3"/>
        <v>38.172727272727286</v>
      </c>
      <c r="S16" s="173">
        <f t="shared" si="4"/>
        <v>-6.3545454545454563</v>
      </c>
      <c r="T16" s="27">
        <v>0.57399999999999995</v>
      </c>
      <c r="U16" s="28">
        <v>-0.93200000000000005</v>
      </c>
      <c r="V16" s="29">
        <f>IF(Y16=11,$G$25-$G$26*W16/100,V15-$G$26*W16/100)</f>
        <v>84.172727272727286</v>
      </c>
      <c r="W16" s="18">
        <f t="shared" si="5"/>
        <v>0.52181818181818174</v>
      </c>
      <c r="X16" s="21">
        <f t="shared" si="6"/>
        <v>38.172727272727286</v>
      </c>
      <c r="Y16" s="28">
        <v>10</v>
      </c>
      <c r="Z16" s="18">
        <f t="shared" si="0"/>
        <v>-0.84727272727272729</v>
      </c>
      <c r="AA16" s="29">
        <f t="shared" si="11"/>
        <v>-6.3545454545454554</v>
      </c>
      <c r="AB16" s="22">
        <f t="shared" si="7"/>
        <v>-9.4512582566099965</v>
      </c>
      <c r="AC16" s="22">
        <f t="shared" si="8"/>
        <v>18.018940801693404</v>
      </c>
      <c r="AD16" s="22">
        <f t="shared" si="9"/>
        <v>-36.921457314913397</v>
      </c>
      <c r="AE16" s="22">
        <f t="shared" si="10"/>
        <v>38.698027796929161</v>
      </c>
    </row>
    <row r="17" spans="2:32" x14ac:dyDescent="0.25">
      <c r="O17" s="234">
        <v>3</v>
      </c>
      <c r="P17" s="260">
        <f t="shared" si="1"/>
        <v>29</v>
      </c>
      <c r="Q17" s="261">
        <f t="shared" si="2"/>
        <v>10</v>
      </c>
      <c r="R17" s="210">
        <f t="shared" si="3"/>
        <v>28.968181818181833</v>
      </c>
      <c r="S17" s="173">
        <f t="shared" si="4"/>
        <v>-7.1727272727272746</v>
      </c>
      <c r="T17" s="28">
        <v>1.35</v>
      </c>
      <c r="U17" s="28">
        <v>-1.052</v>
      </c>
      <c r="V17" s="29">
        <f>IF(Y17=11,$G$25-$G$26*W17/100,V16-$G$26*W17/100)</f>
        <v>74.968181818181833</v>
      </c>
      <c r="W17" s="18">
        <f t="shared" si="5"/>
        <v>1.2272727272727273</v>
      </c>
      <c r="X17" s="21">
        <f t="shared" si="6"/>
        <v>28.968181818181833</v>
      </c>
      <c r="Y17" s="28">
        <v>9</v>
      </c>
      <c r="Z17" s="18">
        <f t="shared" si="0"/>
        <v>-0.95636363636363642</v>
      </c>
      <c r="AA17" s="29">
        <f t="shared" si="11"/>
        <v>-7.1727272727272737</v>
      </c>
      <c r="AB17" s="22">
        <f t="shared" si="7"/>
        <v>-13.907132399049344</v>
      </c>
      <c r="AC17" s="22">
        <f t="shared" si="8"/>
        <v>13.563066659254057</v>
      </c>
      <c r="AD17" s="22">
        <f t="shared" si="9"/>
        <v>-41.377331457352746</v>
      </c>
      <c r="AE17" s="22">
        <f t="shared" si="10"/>
        <v>29.842981995440169</v>
      </c>
    </row>
    <row r="18" spans="2:32" x14ac:dyDescent="0.25">
      <c r="O18" s="234">
        <v>1.8</v>
      </c>
      <c r="P18" s="260">
        <f t="shared" si="1"/>
        <v>21</v>
      </c>
      <c r="Q18" s="261">
        <f t="shared" si="2"/>
        <v>4.3</v>
      </c>
      <c r="R18" s="210">
        <f t="shared" si="3"/>
        <v>19.76363636363638</v>
      </c>
      <c r="S18" s="173">
        <f t="shared" si="4"/>
        <v>-7.4454545454545471</v>
      </c>
      <c r="T18" s="28">
        <v>1.35</v>
      </c>
      <c r="U18" s="28">
        <v>-1.0920000000000001</v>
      </c>
      <c r="V18" s="29">
        <f>IF(Y18=11,$G$25-$G$26*W18/100,V17-$G$26*W18/100)</f>
        <v>65.76363636363638</v>
      </c>
      <c r="W18" s="18">
        <f t="shared" si="5"/>
        <v>1.2272727272727273</v>
      </c>
      <c r="X18" s="21">
        <f t="shared" si="6"/>
        <v>19.76363636363638</v>
      </c>
      <c r="Y18" s="28">
        <v>8</v>
      </c>
      <c r="Z18" s="18">
        <f t="shared" si="0"/>
        <v>-0.9927272727272729</v>
      </c>
      <c r="AA18" s="29">
        <f t="shared" si="11"/>
        <v>-7.4454545454545471</v>
      </c>
      <c r="AB18" s="22">
        <f t="shared" si="7"/>
        <v>-20.642642633888975</v>
      </c>
      <c r="AC18" s="22">
        <f t="shared" si="8"/>
        <v>6.8275564244144249</v>
      </c>
      <c r="AD18" s="22">
        <f t="shared" si="9"/>
        <v>-48.112841692192376</v>
      </c>
      <c r="AE18" s="22">
        <f t="shared" si="10"/>
        <v>21.119567128671932</v>
      </c>
    </row>
    <row r="19" spans="2:32" x14ac:dyDescent="0.25">
      <c r="O19" s="234">
        <v>1</v>
      </c>
      <c r="P19" s="260">
        <f t="shared" si="1"/>
        <v>12.8</v>
      </c>
      <c r="Q19" s="261">
        <f t="shared" si="2"/>
        <v>-0.7</v>
      </c>
      <c r="R19" s="210">
        <f t="shared" si="3"/>
        <v>10.559090909090926</v>
      </c>
      <c r="S19" s="173">
        <f t="shared" si="4"/>
        <v>-7.3636363636363642</v>
      </c>
      <c r="T19" s="28">
        <v>1.35</v>
      </c>
      <c r="U19" s="28">
        <v>-1.08</v>
      </c>
      <c r="V19" s="29">
        <f>IF(Y19=11,$G$25-$G$26*W19/100,V18-$G$26*W19/100)</f>
        <v>56.559090909090926</v>
      </c>
      <c r="W19" s="18">
        <f t="shared" si="5"/>
        <v>1.2272727272727273</v>
      </c>
      <c r="X19" s="21">
        <f t="shared" si="6"/>
        <v>10.559090909090926</v>
      </c>
      <c r="Y19" s="28">
        <v>7</v>
      </c>
      <c r="Z19" s="18">
        <f t="shared" si="0"/>
        <v>-0.98181818181818203</v>
      </c>
      <c r="AA19" s="29">
        <f t="shared" si="11"/>
        <v>-7.3636363636363651</v>
      </c>
      <c r="AB19" s="22">
        <f t="shared" si="7"/>
        <v>-34.890919853666155</v>
      </c>
      <c r="AC19" s="22">
        <f t="shared" si="8"/>
        <v>-7.4207207953627545</v>
      </c>
      <c r="AD19" s="22">
        <f t="shared" si="9"/>
        <v>-62.361118911969555</v>
      </c>
      <c r="AE19" s="22">
        <f t="shared" si="10"/>
        <v>12.87313253727757</v>
      </c>
    </row>
    <row r="20" spans="2:32" x14ac:dyDescent="0.25">
      <c r="O20" s="234">
        <v>0.8</v>
      </c>
      <c r="P20" s="260">
        <f t="shared" si="1"/>
        <v>4.4000000000000004</v>
      </c>
      <c r="Q20" s="261">
        <f t="shared" si="2"/>
        <v>-4.8</v>
      </c>
      <c r="R20" s="210">
        <f t="shared" si="3"/>
        <v>1.3545454545454734</v>
      </c>
      <c r="S20" s="173">
        <f t="shared" si="4"/>
        <v>-7.0227272727272734</v>
      </c>
      <c r="T20" s="28">
        <v>1.35</v>
      </c>
      <c r="U20" s="28">
        <v>-1.03</v>
      </c>
      <c r="V20" s="29">
        <f>IF(Y20=11,$G$25-$G$26*W20/100,V19-$G$26*W20/100)</f>
        <v>47.354545454545473</v>
      </c>
      <c r="W20" s="18">
        <f t="shared" si="5"/>
        <v>1.2272727272727273</v>
      </c>
      <c r="X20" s="21">
        <f t="shared" si="6"/>
        <v>1.3545454545454731</v>
      </c>
      <c r="Y20" s="28">
        <v>6</v>
      </c>
      <c r="Z20" s="18">
        <f t="shared" si="0"/>
        <v>-0.9363636363636364</v>
      </c>
      <c r="AA20" s="29">
        <f t="shared" si="11"/>
        <v>-7.0227272727272725</v>
      </c>
      <c r="AB20" s="22">
        <f t="shared" si="7"/>
        <v>-79.082840617090724</v>
      </c>
      <c r="AC20" s="22">
        <f t="shared" si="8"/>
        <v>-51.612641558787324</v>
      </c>
      <c r="AD20" s="22">
        <f t="shared" si="9"/>
        <v>-106.55303967539413</v>
      </c>
      <c r="AE20" s="22">
        <f t="shared" si="10"/>
        <v>7.1521669258719935</v>
      </c>
    </row>
    <row r="21" spans="2:32" x14ac:dyDescent="0.25">
      <c r="O21" s="234">
        <v>0</v>
      </c>
      <c r="P21" s="260">
        <f t="shared" si="1"/>
        <v>-4.2</v>
      </c>
      <c r="Q21" s="261">
        <f t="shared" si="2"/>
        <v>-8.9</v>
      </c>
      <c r="R21" s="210">
        <f t="shared" si="3"/>
        <v>-7.8499999999999792</v>
      </c>
      <c r="S21" s="173">
        <f t="shared" si="4"/>
        <v>-5.959090909090909</v>
      </c>
      <c r="T21" s="28">
        <v>1.35</v>
      </c>
      <c r="U21" s="28">
        <v>-0.874</v>
      </c>
      <c r="V21" s="29">
        <f>IF(Y21=11,$G$25-$G$26*W21/100,V20-$G$26*W21/100)</f>
        <v>38.15000000000002</v>
      </c>
      <c r="W21" s="18">
        <f t="shared" si="5"/>
        <v>1.2272727272727273</v>
      </c>
      <c r="X21" s="21">
        <f t="shared" si="6"/>
        <v>-7.8499999999999801</v>
      </c>
      <c r="Y21" s="28">
        <v>5</v>
      </c>
      <c r="Z21" s="18">
        <f t="shared" si="0"/>
        <v>-0.79454545454545455</v>
      </c>
      <c r="AA21" s="29">
        <f t="shared" si="11"/>
        <v>-5.959090909090909</v>
      </c>
      <c r="AB21" s="22">
        <f t="shared" si="7"/>
        <v>-37.202855258300296</v>
      </c>
      <c r="AC21" s="22">
        <f t="shared" si="8"/>
        <v>-9.7326561999968959</v>
      </c>
      <c r="AD21" s="22">
        <f t="shared" si="9"/>
        <v>-64.673054316603697</v>
      </c>
      <c r="AE21" s="22">
        <f t="shared" si="10"/>
        <v>9.8556209577484051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-12.5</v>
      </c>
      <c r="Q22" s="261">
        <f t="shared" si="2"/>
        <v>-12.9</v>
      </c>
      <c r="R22" s="210">
        <f t="shared" si="3"/>
        <v>-17.054545454545433</v>
      </c>
      <c r="S22" s="173">
        <f t="shared" si="4"/>
        <v>-5.6454545454545446</v>
      </c>
      <c r="T22" s="28">
        <v>1.35</v>
      </c>
      <c r="U22" s="28">
        <v>-0.82799999999999996</v>
      </c>
      <c r="V22" s="29">
        <f>IF(Y22=11,$G$25-$G$26*W22/100,V21-$G$26*W22/100)</f>
        <v>28.945454545454567</v>
      </c>
      <c r="W22" s="18">
        <f t="shared" si="5"/>
        <v>1.2272727272727273</v>
      </c>
      <c r="X22" s="21">
        <f t="shared" si="6"/>
        <v>-17.054545454545433</v>
      </c>
      <c r="Y22" s="28">
        <v>4</v>
      </c>
      <c r="Z22" s="18">
        <f t="shared" si="0"/>
        <v>-0.75272727272727269</v>
      </c>
      <c r="AA22" s="29">
        <f t="shared" si="11"/>
        <v>-5.6454545454545446</v>
      </c>
      <c r="AB22" s="22">
        <f t="shared" si="7"/>
        <v>-18.315754702396656</v>
      </c>
      <c r="AC22" s="22">
        <f t="shared" si="8"/>
        <v>9.1544443559067439</v>
      </c>
      <c r="AD22" s="22">
        <f t="shared" si="9"/>
        <v>-45.785953760700053</v>
      </c>
      <c r="AE22" s="22">
        <f t="shared" si="10"/>
        <v>17.964650781074194</v>
      </c>
    </row>
    <row r="23" spans="2:32" ht="15.75" x14ac:dyDescent="0.25">
      <c r="B23" s="157">
        <f>'Мощ-Диаметр-Ширина-Шаг-Угол'!T17</f>
        <v>0.3</v>
      </c>
      <c r="C23" s="158">
        <f>'Мощ-Диаметр-Ширина-Шаг-Угол'!U17</f>
        <v>225</v>
      </c>
      <c r="D23" s="158">
        <f>'Мощ-Диаметр-Ширина-Шаг-Угол'!V17</f>
        <v>27.4701990583034</v>
      </c>
      <c r="F23" s="149" t="s">
        <v>1</v>
      </c>
      <c r="G23" s="167">
        <f>B23</f>
        <v>0.3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-21</v>
      </c>
      <c r="Q23" s="261">
        <f t="shared" si="2"/>
        <v>-16.5</v>
      </c>
      <c r="R23" s="210">
        <f t="shared" si="3"/>
        <v>-26.259090909090887</v>
      </c>
      <c r="S23" s="173">
        <f t="shared" si="4"/>
        <v>-4.9636363636363638</v>
      </c>
      <c r="T23" s="28">
        <v>1.35</v>
      </c>
      <c r="U23" s="28">
        <v>-0.72799999999999998</v>
      </c>
      <c r="V23" s="29">
        <f>IF(Y23=11,$G$25-$G$26*W23/100,V22-$G$26*W23/100)</f>
        <v>19.740909090909113</v>
      </c>
      <c r="W23" s="18">
        <f t="shared" si="5"/>
        <v>1.2272727272727273</v>
      </c>
      <c r="X23" s="21">
        <f t="shared" si="6"/>
        <v>-26.259090909090887</v>
      </c>
      <c r="Y23" s="28">
        <v>3</v>
      </c>
      <c r="Z23" s="18">
        <f t="shared" si="0"/>
        <v>-0.66181818181818186</v>
      </c>
      <c r="AA23" s="29">
        <f t="shared" si="11"/>
        <v>-4.9636363636363638</v>
      </c>
      <c r="AB23" s="22">
        <f t="shared" si="7"/>
        <v>-10.704065138096174</v>
      </c>
      <c r="AC23" s="22">
        <f t="shared" si="8"/>
        <v>16.766133920207224</v>
      </c>
      <c r="AD23" s="22">
        <f t="shared" si="9"/>
        <v>-38.174264196399577</v>
      </c>
      <c r="AE23" s="22">
        <f t="shared" si="10"/>
        <v>26.724100383779298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D23+I24</f>
        <v>27.4701990583034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-29.6</v>
      </c>
      <c r="Q24" s="261">
        <f t="shared" si="2"/>
        <v>-20</v>
      </c>
      <c r="R24" s="210">
        <f t="shared" si="3"/>
        <v>-35.46363636363634</v>
      </c>
      <c r="S24" s="173">
        <f t="shared" si="4"/>
        <v>-4.05</v>
      </c>
      <c r="T24" s="28">
        <v>1.35</v>
      </c>
      <c r="U24" s="28">
        <v>-0.59399999999999997</v>
      </c>
      <c r="V24" s="29">
        <f>IF(Y24=11,$G$25-$G$26*W24/100,V23-$G$26*W24/100)</f>
        <v>10.536363636363658</v>
      </c>
      <c r="W24" s="18">
        <f t="shared" si="5"/>
        <v>1.2272727272727273</v>
      </c>
      <c r="X24" s="21">
        <f t="shared" si="6"/>
        <v>-35.46363636363634</v>
      </c>
      <c r="Y24" s="28">
        <v>2</v>
      </c>
      <c r="Z24" s="18">
        <f t="shared" si="0"/>
        <v>-0.54</v>
      </c>
      <c r="AA24" s="29">
        <f t="shared" si="11"/>
        <v>-4.05</v>
      </c>
      <c r="AB24" s="22">
        <f t="shared" si="7"/>
        <v>-6.5150380460901962</v>
      </c>
      <c r="AC24" s="22">
        <f t="shared" si="8"/>
        <v>20.955161012213203</v>
      </c>
      <c r="AD24" s="22">
        <f t="shared" si="9"/>
        <v>-33.985237104393597</v>
      </c>
      <c r="AE24" s="22">
        <f t="shared" si="10"/>
        <v>35.694145236049984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156">
        <f>ROUND((G26*G27/100)*(G22/16.5),0)</f>
        <v>92</v>
      </c>
      <c r="O25" s="234">
        <v>0</v>
      </c>
      <c r="P25" s="262">
        <f>P49</f>
        <v>-41.216118394304921</v>
      </c>
      <c r="Q25" s="263">
        <f>Q49</f>
        <v>-20.444882914783381</v>
      </c>
      <c r="R25" s="210">
        <f t="shared" si="3"/>
        <v>-46</v>
      </c>
      <c r="S25" s="173">
        <f t="shared" si="4"/>
        <v>0.87272727272727291</v>
      </c>
      <c r="T25" s="23"/>
      <c r="U25" s="24">
        <f>0.5</f>
        <v>0.5</v>
      </c>
      <c r="V25" s="25">
        <v>0</v>
      </c>
      <c r="W25" s="23"/>
      <c r="X25" s="21">
        <f t="shared" si="6"/>
        <v>-46</v>
      </c>
      <c r="Y25" s="26">
        <v>1</v>
      </c>
      <c r="Z25" s="18">
        <f t="shared" si="0"/>
        <v>0.45454545454545453</v>
      </c>
      <c r="AA25" s="25">
        <f>AA4-(-AA24+AA4)/2</f>
        <v>0.87272727272727302</v>
      </c>
      <c r="AB25" s="22">
        <f>DEGREES(ATAN(AA25/(ABS(X25))))</f>
        <v>1.0869041543825169</v>
      </c>
      <c r="AC25" s="22">
        <f t="shared" si="8"/>
        <v>28.557103212685917</v>
      </c>
      <c r="AD25" s="22">
        <f t="shared" si="9"/>
        <v>-26.383294903920884</v>
      </c>
      <c r="AE25" s="22">
        <f t="shared" si="10"/>
        <v>46.008278090932308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38.913875940833705</v>
      </c>
      <c r="Q26" s="237">
        <f>Q36</f>
        <v>24.873071397577885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153">
        <v>13.5</v>
      </c>
      <c r="O27" s="235"/>
      <c r="P27" s="237">
        <f>P49</f>
        <v>-41.216118394304921</v>
      </c>
      <c r="Q27" s="237">
        <f>Q49</f>
        <v>-20.444882914783381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44" si="12">IF(R36&lt;0,-AE36*COS(RADIANS(AD36)),AE36*COS(RADIANS(AC36)))</f>
        <v>38.913875940833705</v>
      </c>
      <c r="Q36" s="236">
        <f t="shared" ref="Q36:Q53" si="13">IF(R36&lt;0,AE36*SIN(RADIANS(AD36)),AE36*SIN(RADIANS($AC36)))+O36</f>
        <v>24.873071397577885</v>
      </c>
      <c r="R36" s="224">
        <f t="shared" si="3"/>
        <v>46</v>
      </c>
      <c r="S36" s="225">
        <f t="shared" si="4"/>
        <v>4.1181818181818182</v>
      </c>
      <c r="T36" s="202"/>
      <c r="U36" s="202"/>
      <c r="V36" s="202"/>
      <c r="W36" s="202"/>
      <c r="X36" s="203">
        <f>$AG$36*COS(RADIANS($AF36))+$R$14-$AG$36</f>
        <v>46</v>
      </c>
      <c r="Y36" s="204"/>
      <c r="Z36" s="204"/>
      <c r="AA36" s="203">
        <f>$S$14+($AG$36*SIN(RADIANS($AF36)))</f>
        <v>4.1181818181818182</v>
      </c>
      <c r="AB36" s="205">
        <f t="shared" ref="AB36:AB53" si="14">DEGREES(ATAN(AA36/(ABS(X36))))</f>
        <v>5.1158059103302858</v>
      </c>
      <c r="AC36" s="205">
        <f t="shared" ref="AC36:AC53" si="15">DEGREES(ATAN(AA36/(ABS(X36))))+$G$24</f>
        <v>32.586004968633688</v>
      </c>
      <c r="AD36" s="205">
        <f t="shared" ref="AD36:AD53" si="16">DEGREES(ATAN(AA36/(ABS(X36))))-$G$24</f>
        <v>-22.354393147973113</v>
      </c>
      <c r="AE36" s="205">
        <f t="shared" ref="AE36:AE53" si="17">SQRT(AA36*AA36+X36*X36)</f>
        <v>46.183973643327867</v>
      </c>
      <c r="AF36" s="206">
        <v>0</v>
      </c>
      <c r="AG36" s="207">
        <f>ROUND($Z$14*$G$26/100,1)</f>
        <v>5.7</v>
      </c>
      <c r="AI36" s="201"/>
    </row>
    <row r="37" spans="15:35" ht="18" customHeight="1" x14ac:dyDescent="0.25">
      <c r="O37" s="232"/>
      <c r="P37" s="236">
        <f t="shared" si="12"/>
        <v>35.573396244298799</v>
      </c>
      <c r="Q37" s="236">
        <f t="shared" si="13"/>
        <v>27.67902876638022</v>
      </c>
      <c r="R37" s="226">
        <f t="shared" si="3"/>
        <v>44.330508652763321</v>
      </c>
      <c r="S37" s="227">
        <f t="shared" si="4"/>
        <v>8.1486904709451391</v>
      </c>
      <c r="T37" s="3"/>
      <c r="U37" s="3"/>
      <c r="V37" s="3"/>
      <c r="W37" s="3"/>
      <c r="X37" s="208">
        <f>$AG$36*COS(RADIANS($AF37))+$R$14-$AG$36</f>
        <v>44.330508652763321</v>
      </c>
      <c r="Y37" s="209"/>
      <c r="Z37" s="209"/>
      <c r="AA37" s="208">
        <f>$S$14+($AG$36*SIN(RADIANS($AF37)))</f>
        <v>8.1486904709451391</v>
      </c>
      <c r="AB37" s="210">
        <f t="shared" si="14"/>
        <v>10.415653127721521</v>
      </c>
      <c r="AC37" s="210">
        <f t="shared" si="15"/>
        <v>37.88585218602492</v>
      </c>
      <c r="AD37" s="210">
        <f t="shared" si="16"/>
        <v>-17.054545930581881</v>
      </c>
      <c r="AE37" s="210">
        <f t="shared" si="17"/>
        <v>45.073219918306208</v>
      </c>
      <c r="AF37" s="211">
        <v>45</v>
      </c>
      <c r="AG37" s="212" t="str">
        <f>CONCATENATE("r1=",$AG$36)</f>
        <v>r1=5,7</v>
      </c>
      <c r="AH37" s="201"/>
      <c r="AI37" s="201"/>
    </row>
    <row r="38" spans="15:35" ht="18" customHeight="1" x14ac:dyDescent="0.25">
      <c r="O38" s="232"/>
      <c r="P38" s="236">
        <f t="shared" si="12"/>
        <v>31.227208915262484</v>
      </c>
      <c r="Q38" s="236">
        <f>IF(R38&lt;0,AE38*SIN(RADIANS(AD38)),AE38*SIN(RADIANS($AC38)))+O38</f>
        <v>27.301064403744906</v>
      </c>
      <c r="R38" s="226">
        <f t="shared" si="3"/>
        <v>40.299999999999997</v>
      </c>
      <c r="S38" s="227">
        <f t="shared" si="4"/>
        <v>9.8181818181818183</v>
      </c>
      <c r="T38" s="3"/>
      <c r="U38" s="3"/>
      <c r="V38" s="3"/>
      <c r="W38" s="3"/>
      <c r="X38" s="208">
        <f>$AG$36*COS(RADIANS($AF38))+$R$14-$AG$36</f>
        <v>40.299999999999997</v>
      </c>
      <c r="Y38" s="209"/>
      <c r="Z38" s="209"/>
      <c r="AA38" s="208">
        <f>$S$14+($AG$36*SIN(RADIANS($AF38)))</f>
        <v>9.8181818181818183</v>
      </c>
      <c r="AB38" s="210">
        <f t="shared" si="14"/>
        <v>13.69208308002116</v>
      </c>
      <c r="AC38" s="210">
        <f t="shared" si="15"/>
        <v>41.162282138324557</v>
      </c>
      <c r="AD38" s="210">
        <f t="shared" si="16"/>
        <v>-13.778115978282241</v>
      </c>
      <c r="AE38" s="210">
        <f t="shared" si="17"/>
        <v>41.478749911429055</v>
      </c>
      <c r="AF38" s="211">
        <v>90</v>
      </c>
      <c r="AG38" s="213"/>
    </row>
    <row r="39" spans="15:35" x14ac:dyDescent="0.25">
      <c r="O39" s="232"/>
      <c r="P39" s="236">
        <f t="shared" si="12"/>
        <v>28.421251546460127</v>
      </c>
      <c r="Q39" s="236">
        <f t="shared" si="13"/>
        <v>23.96058470721</v>
      </c>
      <c r="R39" s="226">
        <f t="shared" si="3"/>
        <v>36.269491347236674</v>
      </c>
      <c r="S39" s="227">
        <f t="shared" si="4"/>
        <v>8.1486904709451391</v>
      </c>
      <c r="T39" s="3"/>
      <c r="U39" s="3"/>
      <c r="V39" s="3"/>
      <c r="W39" s="3"/>
      <c r="X39" s="208">
        <f>$AG$36*COS(RADIANS($AF39))+$R$14-$AG$36</f>
        <v>36.269491347236674</v>
      </c>
      <c r="Y39" s="209"/>
      <c r="Z39" s="209"/>
      <c r="AA39" s="208">
        <f>$S$14+($AG$36*SIN(RADIANS($AF39)))</f>
        <v>8.1486904709451391</v>
      </c>
      <c r="AB39" s="210">
        <f t="shared" si="14"/>
        <v>12.662421553654262</v>
      </c>
      <c r="AC39" s="210">
        <f t="shared" si="15"/>
        <v>40.132620611957663</v>
      </c>
      <c r="AD39" s="210">
        <f t="shared" si="16"/>
        <v>-14.807777504649138</v>
      </c>
      <c r="AE39" s="210">
        <f t="shared" si="17"/>
        <v>37.173608366400856</v>
      </c>
      <c r="AF39" s="211">
        <v>135</v>
      </c>
      <c r="AG39" s="213"/>
    </row>
    <row r="40" spans="15:35" x14ac:dyDescent="0.25">
      <c r="O40" s="232"/>
      <c r="P40" s="236">
        <f t="shared" si="12"/>
        <v>28.799215909095444</v>
      </c>
      <c r="Q40" s="236">
        <f t="shared" si="13"/>
        <v>19.614397378173681</v>
      </c>
      <c r="R40" s="226">
        <f t="shared" si="3"/>
        <v>34.599999999999987</v>
      </c>
      <c r="S40" s="227">
        <f t="shared" si="4"/>
        <v>4.1181818181818191</v>
      </c>
      <c r="T40" s="3"/>
      <c r="U40" s="3"/>
      <c r="V40" s="3"/>
      <c r="W40" s="3"/>
      <c r="X40" s="208">
        <f>$AG$36*COS(RADIANS($AF40))+$R$14-$AG$36</f>
        <v>34.599999999999994</v>
      </c>
      <c r="Y40" s="209"/>
      <c r="Z40" s="209"/>
      <c r="AA40" s="208">
        <f>$S$14+($AG$36*SIN(RADIANS($AF40)))</f>
        <v>4.1181818181818191</v>
      </c>
      <c r="AB40" s="210">
        <f t="shared" si="14"/>
        <v>6.7875608848318691</v>
      </c>
      <c r="AC40" s="210">
        <f t="shared" si="15"/>
        <v>34.25775994313527</v>
      </c>
      <c r="AD40" s="210">
        <f t="shared" si="16"/>
        <v>-20.682638173471531</v>
      </c>
      <c r="AE40" s="210">
        <f t="shared" si="17"/>
        <v>34.84421647113912</v>
      </c>
      <c r="AF40" s="211">
        <v>180</v>
      </c>
      <c r="AG40" s="213"/>
    </row>
    <row r="41" spans="15:35" x14ac:dyDescent="0.25">
      <c r="O41" s="232"/>
      <c r="P41" s="236">
        <f t="shared" si="12"/>
        <v>32.139695605630351</v>
      </c>
      <c r="Q41" s="236">
        <f t="shared" si="13"/>
        <v>16.808440009371338</v>
      </c>
      <c r="R41" s="226">
        <f t="shared" si="3"/>
        <v>36.269491347236674</v>
      </c>
      <c r="S41" s="227">
        <f t="shared" si="4"/>
        <v>8.7673165418497234E-2</v>
      </c>
      <c r="T41" s="3"/>
      <c r="U41" s="3"/>
      <c r="V41" s="3"/>
      <c r="W41" s="3"/>
      <c r="X41" s="208">
        <f>$AG$36*COS(RADIANS($AF41))+$R$14-$AG$36</f>
        <v>36.269491347236674</v>
      </c>
      <c r="Y41" s="209"/>
      <c r="Z41" s="209"/>
      <c r="AA41" s="208">
        <f>$S$14+($AG$36*SIN(RADIANS($AF41)))</f>
        <v>8.7673165418497234E-2</v>
      </c>
      <c r="AB41" s="210">
        <f t="shared" si="14"/>
        <v>0.13849911825142594</v>
      </c>
      <c r="AC41" s="210">
        <f t="shared" si="15"/>
        <v>27.608698176554828</v>
      </c>
      <c r="AD41" s="210">
        <f t="shared" si="16"/>
        <v>-27.331699940051973</v>
      </c>
      <c r="AE41" s="210">
        <f t="shared" si="17"/>
        <v>36.269597311952751</v>
      </c>
      <c r="AF41" s="211">
        <v>-135</v>
      </c>
      <c r="AG41" s="213"/>
    </row>
    <row r="42" spans="15:35" x14ac:dyDescent="0.25">
      <c r="O42" s="232"/>
      <c r="P42" s="236">
        <f t="shared" si="12"/>
        <v>36.48588293466667</v>
      </c>
      <c r="Q42" s="236">
        <f t="shared" si="13"/>
        <v>17.186404372006653</v>
      </c>
      <c r="R42" s="226">
        <f t="shared" si="3"/>
        <v>40.299999999999997</v>
      </c>
      <c r="S42" s="227">
        <f t="shared" si="4"/>
        <v>-1.5818181818181818</v>
      </c>
      <c r="T42" s="3"/>
      <c r="U42" s="3"/>
      <c r="V42" s="3"/>
      <c r="W42" s="3"/>
      <c r="X42" s="208">
        <f>$AG$36*COS(RADIANS($AF42))+$R$14-$AG$36</f>
        <v>40.299999999999997</v>
      </c>
      <c r="Y42" s="209"/>
      <c r="Z42" s="209"/>
      <c r="AA42" s="208">
        <f>$S$14+($AG$36*SIN(RADIANS($AF42)))</f>
        <v>-1.581818181818182</v>
      </c>
      <c r="AB42" s="210">
        <f t="shared" si="14"/>
        <v>-2.2477668745626742</v>
      </c>
      <c r="AC42" s="210">
        <f t="shared" si="15"/>
        <v>25.222432183740725</v>
      </c>
      <c r="AD42" s="210">
        <f t="shared" si="16"/>
        <v>-29.717965932866075</v>
      </c>
      <c r="AE42" s="210">
        <f t="shared" si="17"/>
        <v>40.33103208151671</v>
      </c>
      <c r="AF42" s="211">
        <v>-90</v>
      </c>
      <c r="AG42" s="213"/>
    </row>
    <row r="43" spans="15:35" x14ac:dyDescent="0.25">
      <c r="O43" s="232"/>
      <c r="P43" s="236">
        <f t="shared" si="12"/>
        <v>39.291840303469016</v>
      </c>
      <c r="Q43" s="236">
        <f t="shared" si="13"/>
        <v>20.526884068541566</v>
      </c>
      <c r="R43" s="226">
        <f t="shared" si="3"/>
        <v>44.330508652763321</v>
      </c>
      <c r="S43" s="227">
        <f t="shared" si="4"/>
        <v>8.7673165418497234E-2</v>
      </c>
      <c r="T43" s="3"/>
      <c r="U43" s="3"/>
      <c r="V43" s="3"/>
      <c r="W43" s="3"/>
      <c r="X43" s="208">
        <f>$AG$36*COS(RADIANS($AF43))+$R$14-$AG$36</f>
        <v>44.330508652763321</v>
      </c>
      <c r="Y43" s="209"/>
      <c r="Z43" s="209"/>
      <c r="AA43" s="208">
        <f>$S$14+($AG$36*SIN(RADIANS($AF43)))</f>
        <v>8.7673165418497234E-2</v>
      </c>
      <c r="AB43" s="210">
        <f t="shared" si="14"/>
        <v>0.11331464398655142</v>
      </c>
      <c r="AC43" s="210">
        <f t="shared" si="15"/>
        <v>27.583513702289952</v>
      </c>
      <c r="AD43" s="210">
        <f t="shared" si="16"/>
        <v>-27.356884414316848</v>
      </c>
      <c r="AE43" s="210">
        <f t="shared" si="17"/>
        <v>44.330595348998621</v>
      </c>
      <c r="AF43" s="211">
        <v>-45</v>
      </c>
      <c r="AG43" s="213"/>
    </row>
    <row r="44" spans="15:35" x14ac:dyDescent="0.25">
      <c r="O44" s="232"/>
      <c r="P44" s="236">
        <f t="shared" si="12"/>
        <v>38.913875940833705</v>
      </c>
      <c r="Q44" s="236">
        <f t="shared" si="13"/>
        <v>24.873071397577885</v>
      </c>
      <c r="R44" s="228">
        <f t="shared" si="3"/>
        <v>46</v>
      </c>
      <c r="S44" s="229">
        <f t="shared" si="4"/>
        <v>4.1181818181818182</v>
      </c>
      <c r="T44" s="214"/>
      <c r="U44" s="214"/>
      <c r="V44" s="214"/>
      <c r="W44" s="214"/>
      <c r="X44" s="215">
        <f>$AG$36*COS(RADIANS($AF44))+$R$14-$AG$36</f>
        <v>46</v>
      </c>
      <c r="Y44" s="216"/>
      <c r="Z44" s="216"/>
      <c r="AA44" s="215">
        <f>$S$14+($AG$36*SIN(RADIANS($AF44)))</f>
        <v>4.1181818181818182</v>
      </c>
      <c r="AB44" s="217">
        <f t="shared" si="14"/>
        <v>5.1158059103302858</v>
      </c>
      <c r="AC44" s="217">
        <f t="shared" si="15"/>
        <v>32.586004968633688</v>
      </c>
      <c r="AD44" s="217">
        <f t="shared" si="16"/>
        <v>-22.354393147973113</v>
      </c>
      <c r="AE44" s="217">
        <f t="shared" si="17"/>
        <v>46.183973643327867</v>
      </c>
      <c r="AF44" s="218">
        <v>0</v>
      </c>
      <c r="AG44" s="219"/>
    </row>
    <row r="45" spans="15:35" x14ac:dyDescent="0.25">
      <c r="O45" s="232"/>
      <c r="P45" s="236">
        <f t="shared" ref="P45:P53" si="18">IF(R45&lt;0,-AE45*COS(RADIANS(AD45)),AE45*COS(RADIANS(AC45)))</f>
        <v>-35.182812410461061</v>
      </c>
      <c r="Q45" s="236">
        <f t="shared" si="13"/>
        <v>-17.308129990928251</v>
      </c>
      <c r="R45" s="224">
        <f t="shared" si="3"/>
        <v>-39.20000000000001</v>
      </c>
      <c r="S45" s="225">
        <f t="shared" si="4"/>
        <v>0.87272727272727302</v>
      </c>
      <c r="T45" s="202"/>
      <c r="U45" s="202"/>
      <c r="V45" s="202"/>
      <c r="W45" s="202"/>
      <c r="X45" s="203">
        <f>$AG$45*COS(RADIANS(AF45))+$R$25+$AG$45</f>
        <v>-39.200000000000003</v>
      </c>
      <c r="Y45" s="220"/>
      <c r="Z45" s="220"/>
      <c r="AA45" s="203">
        <f>$S$25+($AG$45*SIN(RADIANS($AF45)))</f>
        <v>0.87272727272727291</v>
      </c>
      <c r="AB45" s="205">
        <f t="shared" si="14"/>
        <v>1.2753910774383674</v>
      </c>
      <c r="AC45" s="205">
        <f t="shared" si="15"/>
        <v>28.745590135741768</v>
      </c>
      <c r="AD45" s="205">
        <f t="shared" si="16"/>
        <v>-26.194807980865033</v>
      </c>
      <c r="AE45" s="205">
        <f t="shared" si="17"/>
        <v>39.20971375683024</v>
      </c>
      <c r="AF45" s="206">
        <v>0</v>
      </c>
      <c r="AG45" s="207">
        <f>ROUND($Z$25*$G$26/100,1)</f>
        <v>3.4</v>
      </c>
    </row>
    <row r="46" spans="15:35" x14ac:dyDescent="0.25">
      <c r="O46" s="232"/>
      <c r="P46" s="236">
        <f t="shared" si="18"/>
        <v>-37.175379246990644</v>
      </c>
      <c r="Q46" s="236">
        <f t="shared" si="13"/>
        <v>-15.634401034098778</v>
      </c>
      <c r="R46" s="226">
        <f t="shared" si="3"/>
        <v>-40.195836943965737</v>
      </c>
      <c r="S46" s="227">
        <f t="shared" si="4"/>
        <v>3.2768903287615343</v>
      </c>
      <c r="T46" s="3"/>
      <c r="U46" s="3"/>
      <c r="V46" s="3"/>
      <c r="W46" s="3"/>
      <c r="X46" s="208">
        <f>$AG$45*COS(RADIANS(AF46))+$R$25+$AG$45</f>
        <v>-40.195836943965737</v>
      </c>
      <c r="Y46" s="221"/>
      <c r="Z46" s="221"/>
      <c r="AA46" s="208">
        <f>$S$25+($AG$45*SIN(RADIANS($AF46)))</f>
        <v>3.2768903287615343</v>
      </c>
      <c r="AB46" s="210">
        <f t="shared" si="14"/>
        <v>4.6606244889912229</v>
      </c>
      <c r="AC46" s="210">
        <f t="shared" si="15"/>
        <v>32.130823547294625</v>
      </c>
      <c r="AD46" s="210">
        <f t="shared" si="16"/>
        <v>-22.809574569312176</v>
      </c>
      <c r="AE46" s="210">
        <f t="shared" si="17"/>
        <v>40.32918692278102</v>
      </c>
      <c r="AF46" s="211">
        <v>45</v>
      </c>
      <c r="AG46" s="212" t="str">
        <f>CONCATENATE("r2=",$AG$45)</f>
        <v>r2=3,4</v>
      </c>
    </row>
    <row r="47" spans="15:35" x14ac:dyDescent="0.25">
      <c r="O47" s="232"/>
      <c r="P47" s="236">
        <f t="shared" si="18"/>
        <v>-39.767841864310547</v>
      </c>
      <c r="Q47" s="236">
        <f t="shared" si="13"/>
        <v>-15.859853460933881</v>
      </c>
      <c r="R47" s="226">
        <f t="shared" si="3"/>
        <v>-42.599999999999994</v>
      </c>
      <c r="S47" s="227">
        <f t="shared" si="4"/>
        <v>4.2727272727272725</v>
      </c>
      <c r="T47" s="3"/>
      <c r="U47" s="3"/>
      <c r="V47" s="3"/>
      <c r="W47" s="3"/>
      <c r="X47" s="208">
        <f>$AG$45*COS(RADIANS(AF47))+$R$25+$AG$45</f>
        <v>-42.6</v>
      </c>
      <c r="Y47" s="221"/>
      <c r="Z47" s="221"/>
      <c r="AA47" s="208">
        <f>$S$25+($AG$45*SIN(RADIANS($AF47)))</f>
        <v>4.2727272727272725</v>
      </c>
      <c r="AB47" s="210">
        <f t="shared" si="14"/>
        <v>5.7275409695256023</v>
      </c>
      <c r="AC47" s="210">
        <f t="shared" si="15"/>
        <v>33.197740027828999</v>
      </c>
      <c r="AD47" s="210">
        <f t="shared" si="16"/>
        <v>-21.742658088777798</v>
      </c>
      <c r="AE47" s="210">
        <f t="shared" si="17"/>
        <v>42.813738429937501</v>
      </c>
      <c r="AF47" s="211">
        <v>90</v>
      </c>
      <c r="AG47" s="213"/>
      <c r="AI47" s="201"/>
    </row>
    <row r="48" spans="15:35" x14ac:dyDescent="0.25">
      <c r="O48" s="232"/>
      <c r="P48" s="236">
        <f t="shared" si="18"/>
        <v>-41.441570821140026</v>
      </c>
      <c r="Q48" s="236">
        <f t="shared" si="13"/>
        <v>-17.852420297463478</v>
      </c>
      <c r="R48" s="226">
        <f t="shared" si="3"/>
        <v>-45.004163056034265</v>
      </c>
      <c r="S48" s="227">
        <f t="shared" si="4"/>
        <v>3.2768903287615347</v>
      </c>
      <c r="T48" s="3"/>
      <c r="U48" s="3"/>
      <c r="V48" s="3"/>
      <c r="W48" s="3"/>
      <c r="X48" s="208">
        <f>$AG$45*COS(RADIANS(AF48))+$R$25+$AG$45</f>
        <v>-45.004163056034265</v>
      </c>
      <c r="Y48" s="221"/>
      <c r="Z48" s="221"/>
      <c r="AA48" s="208">
        <f>$S$25+($AG$45*SIN(RADIANS($AF48)))</f>
        <v>3.2768903287615347</v>
      </c>
      <c r="AB48" s="210">
        <f t="shared" si="14"/>
        <v>4.1645310225479051</v>
      </c>
      <c r="AC48" s="210">
        <f t="shared" si="15"/>
        <v>31.634730080851305</v>
      </c>
      <c r="AD48" s="210">
        <f t="shared" si="16"/>
        <v>-23.305668035755495</v>
      </c>
      <c r="AE48" s="210">
        <f t="shared" si="17"/>
        <v>45.123305537170594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8"/>
        <v>-41.216118394304921</v>
      </c>
      <c r="Q49" s="236">
        <f t="shared" si="13"/>
        <v>-20.444882914783381</v>
      </c>
      <c r="R49" s="226">
        <f t="shared" si="3"/>
        <v>-46</v>
      </c>
      <c r="S49" s="227">
        <f t="shared" si="4"/>
        <v>0.87272727272727346</v>
      </c>
      <c r="T49" s="3"/>
      <c r="U49" s="3"/>
      <c r="V49" s="3"/>
      <c r="W49" s="3"/>
      <c r="X49" s="208">
        <f>$AG$45*COS(RADIANS(AF49))+$R$25+$AG$45</f>
        <v>-46</v>
      </c>
      <c r="Y49" s="221"/>
      <c r="Z49" s="221"/>
      <c r="AA49" s="208">
        <f>$S$25+($AG$45*SIN(RADIANS($AF49)))</f>
        <v>0.87272727272727335</v>
      </c>
      <c r="AB49" s="210">
        <f t="shared" si="14"/>
        <v>1.0869041543825173</v>
      </c>
      <c r="AC49" s="210">
        <f t="shared" si="15"/>
        <v>28.557103212685917</v>
      </c>
      <c r="AD49" s="210">
        <f t="shared" si="16"/>
        <v>-26.383294903920884</v>
      </c>
      <c r="AE49" s="210">
        <f t="shared" si="17"/>
        <v>46.008278090932308</v>
      </c>
      <c r="AF49" s="211">
        <v>180</v>
      </c>
      <c r="AG49" s="213"/>
    </row>
    <row r="50" spans="15:33" x14ac:dyDescent="0.25">
      <c r="O50" s="232"/>
      <c r="P50" s="236">
        <f t="shared" si="18"/>
        <v>-39.22355155777533</v>
      </c>
      <c r="Q50" s="236">
        <f t="shared" si="13"/>
        <v>-22.118611871612853</v>
      </c>
      <c r="R50" s="226">
        <f t="shared" si="3"/>
        <v>-45.004163056034265</v>
      </c>
      <c r="S50" s="227">
        <f t="shared" si="4"/>
        <v>-1.5314357833069889</v>
      </c>
      <c r="T50" s="3"/>
      <c r="U50" s="3"/>
      <c r="V50" s="3"/>
      <c r="W50" s="3"/>
      <c r="X50" s="208">
        <f>$AG$45*COS(RADIANS(AF50))+$R$25+$AG$45</f>
        <v>-45.004163056034265</v>
      </c>
      <c r="Y50" s="221"/>
      <c r="Z50" s="221"/>
      <c r="AA50" s="208">
        <f>$S$25+($AG$45*SIN(RADIANS($AF50)))</f>
        <v>-1.5314357833069887</v>
      </c>
      <c r="AB50" s="210">
        <f t="shared" si="14"/>
        <v>-1.9489521927349596</v>
      </c>
      <c r="AC50" s="210">
        <f t="shared" si="15"/>
        <v>25.52124686556844</v>
      </c>
      <c r="AD50" s="210">
        <f t="shared" si="16"/>
        <v>-29.419151251038361</v>
      </c>
      <c r="AE50" s="210">
        <f t="shared" si="17"/>
        <v>45.030211946342341</v>
      </c>
      <c r="AF50" s="211">
        <v>-135</v>
      </c>
      <c r="AG50" s="213"/>
    </row>
    <row r="51" spans="15:33" x14ac:dyDescent="0.25">
      <c r="O51" s="232"/>
      <c r="P51" s="236">
        <f t="shared" si="18"/>
        <v>-36.631088940455427</v>
      </c>
      <c r="Q51" s="236">
        <f t="shared" si="13"/>
        <v>-21.893159444777751</v>
      </c>
      <c r="R51" s="226">
        <f t="shared" si="3"/>
        <v>-42.6</v>
      </c>
      <c r="S51" s="227">
        <f t="shared" si="4"/>
        <v>-2.5272727272727269</v>
      </c>
      <c r="T51" s="3"/>
      <c r="U51" s="3"/>
      <c r="V51" s="3"/>
      <c r="W51" s="3"/>
      <c r="X51" s="208">
        <f>$AG$45*COS(RADIANS(AF51))+$R$25+$AG$45</f>
        <v>-42.6</v>
      </c>
      <c r="Y51" s="221"/>
      <c r="Z51" s="221"/>
      <c r="AA51" s="208">
        <f>$S$25+($AG$45*SIN(RADIANS($AF51)))</f>
        <v>-2.5272727272727269</v>
      </c>
      <c r="AB51" s="210">
        <f t="shared" si="14"/>
        <v>-3.3951300528374886</v>
      </c>
      <c r="AC51" s="210">
        <f t="shared" si="15"/>
        <v>24.075069005465913</v>
      </c>
      <c r="AD51" s="210">
        <f t="shared" si="16"/>
        <v>-30.865329111140888</v>
      </c>
      <c r="AE51" s="210">
        <f t="shared" si="17"/>
        <v>42.674900204195168</v>
      </c>
      <c r="AF51" s="211">
        <v>-90</v>
      </c>
      <c r="AG51" s="213"/>
    </row>
    <row r="52" spans="15:33" x14ac:dyDescent="0.25">
      <c r="O52" s="232"/>
      <c r="P52" s="236">
        <f t="shared" si="18"/>
        <v>-34.957359983625942</v>
      </c>
      <c r="Q52" s="236">
        <f t="shared" si="13"/>
        <v>-19.900592608248154</v>
      </c>
      <c r="R52" s="226">
        <f t="shared" si="3"/>
        <v>-40.19583694396573</v>
      </c>
      <c r="S52" s="227">
        <f t="shared" si="4"/>
        <v>-1.531435783306988</v>
      </c>
      <c r="T52" s="3"/>
      <c r="U52" s="3"/>
      <c r="V52" s="3"/>
      <c r="W52" s="3"/>
      <c r="X52" s="208">
        <f>$AG$45*COS(RADIANS(AF52))+$R$25+$AG$45</f>
        <v>-40.195836943965737</v>
      </c>
      <c r="Y52" s="221"/>
      <c r="Z52" s="221"/>
      <c r="AA52" s="208">
        <f>$S$25+($AG$45*SIN(RADIANS($AF52)))</f>
        <v>-1.5314357833069883</v>
      </c>
      <c r="AB52" s="210">
        <f t="shared" si="14"/>
        <v>-2.1818774013554787</v>
      </c>
      <c r="AC52" s="210">
        <f t="shared" si="15"/>
        <v>25.288321656947922</v>
      </c>
      <c r="AD52" s="210">
        <f t="shared" si="16"/>
        <v>-29.652076459658879</v>
      </c>
      <c r="AE52" s="210">
        <f t="shared" si="17"/>
        <v>40.224999728828756</v>
      </c>
      <c r="AF52" s="211">
        <v>-45</v>
      </c>
      <c r="AG52" s="213"/>
    </row>
    <row r="53" spans="15:33" x14ac:dyDescent="0.25">
      <c r="O53" s="232"/>
      <c r="P53" s="236">
        <f t="shared" si="18"/>
        <v>-35.182812410461061</v>
      </c>
      <c r="Q53" s="236">
        <f t="shared" si="13"/>
        <v>-17.308129990928251</v>
      </c>
      <c r="R53" s="228">
        <f t="shared" si="3"/>
        <v>-39.20000000000001</v>
      </c>
      <c r="S53" s="229">
        <f t="shared" si="4"/>
        <v>0.87272727272727302</v>
      </c>
      <c r="T53" s="214"/>
      <c r="U53" s="214"/>
      <c r="V53" s="214"/>
      <c r="W53" s="214"/>
      <c r="X53" s="215">
        <f>$AG$45*COS(RADIANS(AF53))+$R$25+$AG$45</f>
        <v>-39.200000000000003</v>
      </c>
      <c r="Y53" s="222"/>
      <c r="Z53" s="222"/>
      <c r="AA53" s="215">
        <f>$S$25+($AG$45*SIN(RADIANS($AF53)))</f>
        <v>0.87272727272727291</v>
      </c>
      <c r="AB53" s="217">
        <f t="shared" si="14"/>
        <v>1.2753910774383674</v>
      </c>
      <c r="AC53" s="217">
        <f t="shared" si="15"/>
        <v>28.745590135741768</v>
      </c>
      <c r="AD53" s="217">
        <f t="shared" si="16"/>
        <v>-26.194807980865033</v>
      </c>
      <c r="AE53" s="217">
        <f t="shared" si="17"/>
        <v>39.20971375683024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L31" activePane="bottomRight" state="frozen"/>
      <selection pane="topRight" activeCell="AH1" sqref="AH1"/>
      <selection pane="bottomLeft" activeCell="A31" sqref="A31"/>
      <selection pane="bottomRight" activeCell="L32" sqref="L32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-44.3</v>
      </c>
      <c r="Q4" s="255">
        <f>ROUND(IF(R4&lt;0,AE4*SIN(RADIANS(AD4)),AE4*SIN(RADIANS($AC4)))+O4,1)</f>
        <v>-7.7</v>
      </c>
      <c r="R4" s="210">
        <f>IF(X4&lt;0,-AE4*COS(RADIANS(AB4)),AE4*COS(RADIANS(AB4)))</f>
        <v>-44.413636363636364</v>
      </c>
      <c r="S4" s="173">
        <f>IF(X4&lt;0,AE4*SIN(RADIANS(AB4)),AE4*SIN(RADIANS(AB4)))</f>
        <v>7.2</v>
      </c>
      <c r="T4" s="22">
        <v>1.6259999999999999</v>
      </c>
      <c r="U4" s="19">
        <v>1.056</v>
      </c>
      <c r="V4" s="20">
        <f>IF(Y4=1,$G$26*W4/100,V3+$G$26*W4/100)</f>
        <v>11.086363636363636</v>
      </c>
      <c r="W4" s="18">
        <f>T4*$G$22/16.5</f>
        <v>1.478181818181818</v>
      </c>
      <c r="X4" s="21">
        <f>V4-$G$25/2</f>
        <v>-44.413636363636364</v>
      </c>
      <c r="Y4" s="19">
        <v>2</v>
      </c>
      <c r="Z4" s="18">
        <f t="shared" ref="Z4:Z25" si="0">U4*$G$22/16.5</f>
        <v>0.96</v>
      </c>
      <c r="AA4" s="20">
        <f>$G$26*Z4/100</f>
        <v>7.2</v>
      </c>
      <c r="AB4" s="22">
        <f>DEGREES(ATAN(AA4/(ABS(X4))))</f>
        <v>9.2082469239371445</v>
      </c>
      <c r="AC4" s="22">
        <f>DEGREES(ATAN(AA4/(ABS(X4))))+$G$24</f>
        <v>28.3247731951951</v>
      </c>
      <c r="AD4" s="22">
        <f>DEGREES(ATAN(AA4/(ABS(X4))))-$G$24</f>
        <v>-9.9082793473208124</v>
      </c>
      <c r="AE4" s="22">
        <f>SQRT(AA4*AA4+X4*X4)</f>
        <v>44.993456135768483</v>
      </c>
    </row>
    <row r="5" spans="15:31" x14ac:dyDescent="0.25">
      <c r="O5" s="234">
        <v>0</v>
      </c>
      <c r="P5" s="256">
        <f t="shared" ref="P5:P24" si="1">ROUND(IF(R5&lt;0,-AE5*COS(RADIANS(AD5)),AE5*COS(RADIANS(AC5))),1)</f>
        <v>-35</v>
      </c>
      <c r="Q5" s="257">
        <f t="shared" ref="Q5:Q24" si="2">ROUND(IF(R5&lt;0,AE5*SIN(RADIANS(AD5)),AE5*SIN(RADIANS($AC5)))+O5,1)</f>
        <v>-0.8</v>
      </c>
      <c r="R5" s="210">
        <f t="shared" ref="R5:R53" si="3">IF(X5&lt;0,-AE5*COS(RADIANS(AB5)),AE5*COS(RADIANS(AB5)))</f>
        <v>-33.327272727272728</v>
      </c>
      <c r="S5" s="173">
        <f t="shared" ref="S5:S53" si="4">IF(X5&lt;0,AE5*SIN(RADIANS(AB5)),AE5*SIN(RADIANS(AB5)))</f>
        <v>10.74545454545455</v>
      </c>
      <c r="T5" s="22">
        <v>1.6259999999999999</v>
      </c>
      <c r="U5" s="19">
        <v>1.5760000000000001</v>
      </c>
      <c r="V5" s="20">
        <f>IF(Y5=1,$G$26*W5/100,V4+$G$26*W5/100)</f>
        <v>22.172727272727272</v>
      </c>
      <c r="W5" s="18">
        <f t="shared" ref="W5:W24" si="5">T5*$G$22/16.5</f>
        <v>1.478181818181818</v>
      </c>
      <c r="X5" s="21">
        <f t="shared" ref="X5:X25" si="6">V5-$G$25/2</f>
        <v>-33.327272727272728</v>
      </c>
      <c r="Y5" s="19">
        <v>3</v>
      </c>
      <c r="Z5" s="18">
        <f t="shared" si="0"/>
        <v>1.4327272727272728</v>
      </c>
      <c r="AA5" s="20">
        <f>$G$26*Z5/100</f>
        <v>10.745454545454548</v>
      </c>
      <c r="AB5" s="22">
        <f t="shared" ref="AB5:AB24" si="7">DEGREES(ATAN(AA5/(ABS(X5))))</f>
        <v>17.87047664761505</v>
      </c>
      <c r="AC5" s="22">
        <f t="shared" ref="AC5:AC25" si="8">DEGREES(ATAN(AA5/(ABS(X5))))+$G$24</f>
        <v>36.987002918873003</v>
      </c>
      <c r="AD5" s="22">
        <f t="shared" ref="AD5:AD25" si="9">DEGREES(ATAN(AA5/(ABS(X5))))-$G$24</f>
        <v>-1.2460496236429073</v>
      </c>
      <c r="AE5" s="22">
        <f>SQRT(AA5*AA5+X5*X5)</f>
        <v>35.016737438351484</v>
      </c>
    </row>
    <row r="6" spans="15:31" x14ac:dyDescent="0.25">
      <c r="O6" s="234">
        <v>0</v>
      </c>
      <c r="P6" s="256">
        <f t="shared" si="1"/>
        <v>-25.5</v>
      </c>
      <c r="Q6" s="257">
        <f t="shared" si="2"/>
        <v>5.7</v>
      </c>
      <c r="R6" s="210">
        <f t="shared" si="3"/>
        <v>-22.240909090909092</v>
      </c>
      <c r="S6" s="173">
        <f t="shared" si="4"/>
        <v>13.745454545454544</v>
      </c>
      <c r="T6" s="22">
        <v>1.6259999999999999</v>
      </c>
      <c r="U6" s="19">
        <v>2.016</v>
      </c>
      <c r="V6" s="20">
        <f>IF(Y6=1,$G$26*W6/100,V5+$G$26*W6/100)</f>
        <v>33.259090909090908</v>
      </c>
      <c r="W6" s="18">
        <f t="shared" si="5"/>
        <v>1.478181818181818</v>
      </c>
      <c r="X6" s="21">
        <f t="shared" si="6"/>
        <v>-22.240909090909092</v>
      </c>
      <c r="Y6" s="19">
        <v>4</v>
      </c>
      <c r="Z6" s="18">
        <f t="shared" si="0"/>
        <v>1.8327272727272728</v>
      </c>
      <c r="AA6" s="20">
        <f>$G$26*Z6/100</f>
        <v>13.745454545454544</v>
      </c>
      <c r="AB6" s="22">
        <f t="shared" si="7"/>
        <v>31.717132879284215</v>
      </c>
      <c r="AC6" s="22">
        <f t="shared" si="8"/>
        <v>50.833659150542175</v>
      </c>
      <c r="AD6" s="22">
        <f t="shared" si="9"/>
        <v>12.600606608026258</v>
      </c>
      <c r="AE6" s="22">
        <f>SQRT(AA6*AA6+X6*X6)</f>
        <v>26.145660401895373</v>
      </c>
    </row>
    <row r="7" spans="15:31" x14ac:dyDescent="0.25">
      <c r="O7" s="234">
        <v>0</v>
      </c>
      <c r="P7" s="256">
        <f t="shared" si="1"/>
        <v>-15.8</v>
      </c>
      <c r="Q7" s="257">
        <f t="shared" si="2"/>
        <v>11.5</v>
      </c>
      <c r="R7" s="210">
        <f t="shared" si="3"/>
        <v>-11.154545454545454</v>
      </c>
      <c r="S7" s="173">
        <f t="shared" si="4"/>
        <v>16.077272727272732</v>
      </c>
      <c r="T7" s="22">
        <v>1.6259999999999999</v>
      </c>
      <c r="U7" s="19">
        <v>2.3580000000000001</v>
      </c>
      <c r="V7" s="20">
        <f>IF(Y7=1,$G$26*W7/100,V6+$G$26*W7/100)</f>
        <v>44.345454545454544</v>
      </c>
      <c r="W7" s="18">
        <f t="shared" si="5"/>
        <v>1.478181818181818</v>
      </c>
      <c r="X7" s="21">
        <f t="shared" si="6"/>
        <v>-11.154545454545456</v>
      </c>
      <c r="Y7" s="19">
        <v>5</v>
      </c>
      <c r="Z7" s="18">
        <f t="shared" si="0"/>
        <v>2.143636363636364</v>
      </c>
      <c r="AA7" s="20">
        <f>$G$26*Z7/100</f>
        <v>16.077272727272728</v>
      </c>
      <c r="AB7" s="22">
        <f t="shared" si="7"/>
        <v>55.246765351157997</v>
      </c>
      <c r="AC7" s="22">
        <f t="shared" si="8"/>
        <v>74.363291622415957</v>
      </c>
      <c r="AD7" s="22">
        <f t="shared" si="9"/>
        <v>36.130239079900036</v>
      </c>
      <c r="AE7" s="22">
        <f>SQRT(AA7*AA7+X7*X7)</f>
        <v>19.567896735332294</v>
      </c>
    </row>
    <row r="8" spans="15:31" x14ac:dyDescent="0.25">
      <c r="O8" s="234">
        <v>0</v>
      </c>
      <c r="P8" s="256">
        <f t="shared" si="1"/>
        <v>-5.8</v>
      </c>
      <c r="Q8" s="257">
        <f t="shared" si="2"/>
        <v>16.5</v>
      </c>
      <c r="R8" s="210">
        <f t="shared" si="3"/>
        <v>-6.8181818181819662E-2</v>
      </c>
      <c r="S8" s="173">
        <f t="shared" si="4"/>
        <v>17.509090909090911</v>
      </c>
      <c r="T8" s="22">
        <v>1.6259999999999999</v>
      </c>
      <c r="U8" s="19">
        <v>2.5680000000000001</v>
      </c>
      <c r="V8" s="20">
        <f>IF(Y8=1,$G$26*W8/100,V7+$G$26*W8/100)</f>
        <v>55.43181818181818</v>
      </c>
      <c r="W8" s="18">
        <f t="shared" si="5"/>
        <v>1.478181818181818</v>
      </c>
      <c r="X8" s="21">
        <f t="shared" si="6"/>
        <v>-6.818181818182012E-2</v>
      </c>
      <c r="Y8" s="19">
        <v>6</v>
      </c>
      <c r="Z8" s="18">
        <f t="shared" si="0"/>
        <v>2.3345454545454549</v>
      </c>
      <c r="AA8" s="20">
        <f>$G$26*Z8/100</f>
        <v>17.509090909090911</v>
      </c>
      <c r="AB8" s="22">
        <f t="shared" si="7"/>
        <v>89.776886721545196</v>
      </c>
      <c r="AC8" s="22">
        <f t="shared" si="8"/>
        <v>108.89341299280315</v>
      </c>
      <c r="AD8" s="22">
        <f t="shared" si="9"/>
        <v>70.660360450287243</v>
      </c>
      <c r="AE8" s="22">
        <f>SQRT(AA8*AA8+X8*X8)</f>
        <v>17.509223661348912</v>
      </c>
    </row>
    <row r="9" spans="15:31" x14ac:dyDescent="0.25">
      <c r="O9" s="234">
        <v>0</v>
      </c>
      <c r="P9" s="256">
        <f t="shared" si="1"/>
        <v>4.4000000000000004</v>
      </c>
      <c r="Q9" s="257">
        <f t="shared" si="2"/>
        <v>21</v>
      </c>
      <c r="R9" s="210">
        <f t="shared" si="3"/>
        <v>11.018181818181816</v>
      </c>
      <c r="S9" s="173">
        <f t="shared" si="4"/>
        <v>18.40909090909091</v>
      </c>
      <c r="T9" s="22">
        <v>1.6259999999999999</v>
      </c>
      <c r="U9" s="19">
        <v>2.7</v>
      </c>
      <c r="V9" s="20">
        <f>IF(Y9=1,$G$26*W9/100,V8+$G$26*W9/100)</f>
        <v>66.518181818181816</v>
      </c>
      <c r="W9" s="18">
        <f t="shared" si="5"/>
        <v>1.478181818181818</v>
      </c>
      <c r="X9" s="21">
        <f t="shared" si="6"/>
        <v>11.018181818181816</v>
      </c>
      <c r="Y9" s="19">
        <v>7</v>
      </c>
      <c r="Z9" s="18">
        <f t="shared" si="0"/>
        <v>2.4545454545454546</v>
      </c>
      <c r="AA9" s="20">
        <f>$G$26*Z9/100</f>
        <v>18.40909090909091</v>
      </c>
      <c r="AB9" s="22">
        <f t="shared" si="7"/>
        <v>59.098697966313793</v>
      </c>
      <c r="AC9" s="22">
        <f t="shared" si="8"/>
        <v>78.215224237571746</v>
      </c>
      <c r="AD9" s="22">
        <f t="shared" si="9"/>
        <v>39.98217169505584</v>
      </c>
      <c r="AE9" s="22">
        <f>SQRT(AA9*AA9+X9*X9)</f>
        <v>21.454485747220463</v>
      </c>
    </row>
    <row r="10" spans="15:31" x14ac:dyDescent="0.25">
      <c r="O10" s="234">
        <v>0</v>
      </c>
      <c r="P10" s="256">
        <f t="shared" si="1"/>
        <v>14.8</v>
      </c>
      <c r="Q10" s="257">
        <f t="shared" si="2"/>
        <v>24.8</v>
      </c>
      <c r="R10" s="210">
        <f t="shared" si="3"/>
        <v>22.104545454545445</v>
      </c>
      <c r="S10" s="173">
        <f t="shared" si="4"/>
        <v>18.61363636363636</v>
      </c>
      <c r="T10" s="22">
        <v>1.6259999999999999</v>
      </c>
      <c r="U10" s="19">
        <v>2.73</v>
      </c>
      <c r="V10" s="20">
        <f>IF(Y10=1,$G$26*W10/100,V9+$G$26*W10/100)</f>
        <v>77.604545454545445</v>
      </c>
      <c r="W10" s="18">
        <f t="shared" si="5"/>
        <v>1.478181818181818</v>
      </c>
      <c r="X10" s="21">
        <f t="shared" si="6"/>
        <v>22.104545454545445</v>
      </c>
      <c r="Y10" s="19">
        <v>8</v>
      </c>
      <c r="Z10" s="18">
        <f t="shared" si="0"/>
        <v>2.4818181818181819</v>
      </c>
      <c r="AA10" s="20">
        <f>$G$26*Z10/100</f>
        <v>18.613636363636363</v>
      </c>
      <c r="AB10" s="22">
        <f t="shared" si="7"/>
        <v>40.099819079875381</v>
      </c>
      <c r="AC10" s="22">
        <f t="shared" si="8"/>
        <v>59.216345351133342</v>
      </c>
      <c r="AD10" s="22">
        <f t="shared" si="9"/>
        <v>20.983292808617424</v>
      </c>
      <c r="AE10" s="22">
        <f>SQRT(AA10*AA10+X10*X10)</f>
        <v>28.89772289350411</v>
      </c>
    </row>
    <row r="11" spans="15:31" x14ac:dyDescent="0.25">
      <c r="O11" s="234">
        <v>0</v>
      </c>
      <c r="P11" s="256">
        <f t="shared" si="1"/>
        <v>25.6</v>
      </c>
      <c r="Q11" s="257">
        <f t="shared" si="2"/>
        <v>27.6</v>
      </c>
      <c r="R11" s="210">
        <f t="shared" si="3"/>
        <v>33.190909090909088</v>
      </c>
      <c r="S11" s="173">
        <f t="shared" si="4"/>
        <v>17.727272727272727</v>
      </c>
      <c r="T11" s="22">
        <v>1.6259999999999999</v>
      </c>
      <c r="U11" s="19">
        <v>2.6</v>
      </c>
      <c r="V11" s="20">
        <f>IF(Y11=1,$G$26*W11/100,V10+$G$26*W11/100)</f>
        <v>88.690909090909088</v>
      </c>
      <c r="W11" s="18">
        <f t="shared" si="5"/>
        <v>1.478181818181818</v>
      </c>
      <c r="X11" s="21">
        <f t="shared" si="6"/>
        <v>33.190909090909088</v>
      </c>
      <c r="Y11" s="19">
        <v>9</v>
      </c>
      <c r="Z11" s="18">
        <f t="shared" si="0"/>
        <v>2.3636363636363638</v>
      </c>
      <c r="AA11" s="20">
        <f>$G$26*Z11/100</f>
        <v>17.727272727272727</v>
      </c>
      <c r="AB11" s="22">
        <f t="shared" si="7"/>
        <v>28.106686075393455</v>
      </c>
      <c r="AC11" s="22">
        <f t="shared" si="8"/>
        <v>47.223212346651408</v>
      </c>
      <c r="AD11" s="22">
        <f t="shared" si="9"/>
        <v>8.990159804135498</v>
      </c>
      <c r="AE11" s="22">
        <f>SQRT(AA11*AA11+X11*X11)</f>
        <v>37.628348949005172</v>
      </c>
    </row>
    <row r="12" spans="15:31" x14ac:dyDescent="0.25">
      <c r="O12" s="234">
        <v>0</v>
      </c>
      <c r="P12" s="256">
        <f t="shared" si="1"/>
        <v>37.200000000000003</v>
      </c>
      <c r="Q12" s="257">
        <f t="shared" si="2"/>
        <v>28</v>
      </c>
      <c r="R12" s="210">
        <f t="shared" si="3"/>
        <v>44.277272727272731</v>
      </c>
      <c r="S12" s="173">
        <f t="shared" si="4"/>
        <v>14.290909090909093</v>
      </c>
      <c r="T12" s="22">
        <v>1.6259999999999999</v>
      </c>
      <c r="U12" s="19">
        <v>2.0960000000000001</v>
      </c>
      <c r="V12" s="20">
        <f>IF(Y12=1,$G$26*W12/100,V11+$G$26*W12/100)</f>
        <v>99.777272727272731</v>
      </c>
      <c r="W12" s="18">
        <f t="shared" si="5"/>
        <v>1.478181818181818</v>
      </c>
      <c r="X12" s="21">
        <f t="shared" si="6"/>
        <v>44.277272727272731</v>
      </c>
      <c r="Y12" s="19">
        <v>10</v>
      </c>
      <c r="Z12" s="18">
        <f t="shared" si="0"/>
        <v>1.9054545454545455</v>
      </c>
      <c r="AA12" s="20">
        <f>$G$26*Z12/100</f>
        <v>14.290909090909093</v>
      </c>
      <c r="AB12" s="22">
        <f t="shared" si="7"/>
        <v>17.887976349858612</v>
      </c>
      <c r="AC12" s="22">
        <f t="shared" si="8"/>
        <v>37.004502621116572</v>
      </c>
      <c r="AD12" s="22">
        <f t="shared" si="9"/>
        <v>-1.2285499213993454</v>
      </c>
      <c r="AE12" s="22">
        <f t="shared" ref="AE12:AE25" si="10">SQRT(AA12*AA12+X12*X12)</f>
        <v>46.526411454247338</v>
      </c>
    </row>
    <row r="13" spans="15:31" x14ac:dyDescent="0.25">
      <c r="O13" s="234">
        <v>0</v>
      </c>
      <c r="P13" s="256">
        <f t="shared" si="1"/>
        <v>43.5</v>
      </c>
      <c r="Q13" s="257">
        <f t="shared" si="2"/>
        <v>26.7</v>
      </c>
      <c r="R13" s="210">
        <f t="shared" si="3"/>
        <v>49.8</v>
      </c>
      <c r="S13" s="173">
        <f t="shared" si="4"/>
        <v>10.97727272727273</v>
      </c>
      <c r="T13" s="18">
        <v>0.81</v>
      </c>
      <c r="U13" s="19">
        <v>1.61</v>
      </c>
      <c r="V13" s="20">
        <f>IF(Y13=1,$G$26*W13/100,V12+$G$26*W13/100)</f>
        <v>105.3</v>
      </c>
      <c r="W13" s="18">
        <f t="shared" si="5"/>
        <v>0.73636363636363633</v>
      </c>
      <c r="X13" s="21">
        <f t="shared" si="6"/>
        <v>49.8</v>
      </c>
      <c r="Y13" s="19">
        <v>11</v>
      </c>
      <c r="Z13" s="18">
        <f t="shared" si="0"/>
        <v>1.4636363636363638</v>
      </c>
      <c r="AA13" s="21">
        <f>$G$26*Z13/100</f>
        <v>10.97727272727273</v>
      </c>
      <c r="AB13" s="22">
        <f t="shared" si="7"/>
        <v>12.430761195676643</v>
      </c>
      <c r="AC13" s="22">
        <f t="shared" si="8"/>
        <v>31.547287466934598</v>
      </c>
      <c r="AD13" s="22">
        <f t="shared" si="9"/>
        <v>-6.6857650755813136</v>
      </c>
      <c r="AE13" s="22">
        <f t="shared" si="10"/>
        <v>50.995495061122071</v>
      </c>
    </row>
    <row r="14" spans="15:31" ht="15.75" x14ac:dyDescent="0.25">
      <c r="O14" s="234">
        <v>0</v>
      </c>
      <c r="P14" s="258">
        <f>P36</f>
        <v>50.641948278923529</v>
      </c>
      <c r="Q14" s="259">
        <f>Q36</f>
        <v>23.361682380493612</v>
      </c>
      <c r="R14" s="210">
        <f t="shared" si="3"/>
        <v>55.5</v>
      </c>
      <c r="S14" s="173">
        <f t="shared" si="4"/>
        <v>5.4886363636363651</v>
      </c>
      <c r="T14" s="23"/>
      <c r="U14" s="24">
        <v>0.44</v>
      </c>
      <c r="V14" s="25">
        <f>G25</f>
        <v>111</v>
      </c>
      <c r="W14" s="18">
        <f t="shared" si="5"/>
        <v>0</v>
      </c>
      <c r="X14" s="21">
        <f t="shared" si="6"/>
        <v>55.5</v>
      </c>
      <c r="Y14" s="26">
        <v>12</v>
      </c>
      <c r="Z14" s="18">
        <f>U14*$G$22/16.5</f>
        <v>0.39999999999999997</v>
      </c>
      <c r="AA14" s="240">
        <f>AA13-(AA13-AA15)/2</f>
        <v>5.4886363636363651</v>
      </c>
      <c r="AB14" s="22">
        <f t="shared" si="7"/>
        <v>5.6478643728762083</v>
      </c>
      <c r="AC14" s="22">
        <f t="shared" si="8"/>
        <v>24.764390644134167</v>
      </c>
      <c r="AD14" s="22">
        <f t="shared" si="9"/>
        <v>-13.468661898381749</v>
      </c>
      <c r="AE14" s="22">
        <f t="shared" si="10"/>
        <v>55.770737211661739</v>
      </c>
    </row>
    <row r="15" spans="15:31" x14ac:dyDescent="0.25">
      <c r="O15" s="234">
        <v>1</v>
      </c>
      <c r="P15" s="260">
        <f t="shared" si="1"/>
        <v>47.2</v>
      </c>
      <c r="Q15" s="261">
        <f t="shared" si="2"/>
        <v>17.399999999999999</v>
      </c>
      <c r="R15" s="210">
        <f t="shared" si="3"/>
        <v>49.977272727272734</v>
      </c>
      <c r="S15" s="173">
        <f t="shared" si="4"/>
        <v>0</v>
      </c>
      <c r="T15" s="27">
        <v>0.81</v>
      </c>
      <c r="U15" s="28">
        <v>0</v>
      </c>
      <c r="V15" s="29">
        <f>IF(Y15=11,$G$25-$G$26*W15/100,V14-$G$26*W15/100)</f>
        <v>105.47727272727273</v>
      </c>
      <c r="W15" s="18">
        <f t="shared" si="5"/>
        <v>0.73636363636363633</v>
      </c>
      <c r="X15" s="21">
        <f t="shared" si="6"/>
        <v>49.977272727272734</v>
      </c>
      <c r="Y15" s="28">
        <v>11</v>
      </c>
      <c r="Z15" s="18">
        <f t="shared" si="0"/>
        <v>0</v>
      </c>
      <c r="AA15" s="30">
        <f t="shared" ref="AA15:AA24" si="11">$G$26*Z15/100</f>
        <v>0</v>
      </c>
      <c r="AB15" s="22">
        <f t="shared" si="7"/>
        <v>0</v>
      </c>
      <c r="AC15" s="22">
        <f t="shared" si="8"/>
        <v>19.116526271257957</v>
      </c>
      <c r="AD15" s="22">
        <f t="shared" si="9"/>
        <v>-19.116526271257957</v>
      </c>
      <c r="AE15" s="22">
        <f t="shared" si="10"/>
        <v>49.977272727272734</v>
      </c>
    </row>
    <row r="16" spans="15:31" x14ac:dyDescent="0.25">
      <c r="O16" s="234">
        <v>0</v>
      </c>
      <c r="P16" s="260">
        <f t="shared" si="1"/>
        <v>42</v>
      </c>
      <c r="Q16" s="261">
        <f t="shared" si="2"/>
        <v>14.6</v>
      </c>
      <c r="R16" s="210">
        <f t="shared" si="3"/>
        <v>44.454545454545467</v>
      </c>
      <c r="S16" s="173">
        <f t="shared" si="4"/>
        <v>0</v>
      </c>
      <c r="T16" s="27">
        <v>0.81</v>
      </c>
      <c r="U16" s="28">
        <v>0</v>
      </c>
      <c r="V16" s="29">
        <f>IF(Y16=11,$G$25-$G$26*W16/100,V15-$G$26*W16/100)</f>
        <v>99.954545454545467</v>
      </c>
      <c r="W16" s="18">
        <f t="shared" si="5"/>
        <v>0.73636363636363633</v>
      </c>
      <c r="X16" s="21">
        <f t="shared" si="6"/>
        <v>44.454545454545467</v>
      </c>
      <c r="Y16" s="28">
        <v>10</v>
      </c>
      <c r="Z16" s="18">
        <f t="shared" si="0"/>
        <v>0</v>
      </c>
      <c r="AA16" s="29">
        <f t="shared" si="11"/>
        <v>0</v>
      </c>
      <c r="AB16" s="22">
        <f t="shared" si="7"/>
        <v>0</v>
      </c>
      <c r="AC16" s="22">
        <f t="shared" si="8"/>
        <v>19.116526271257957</v>
      </c>
      <c r="AD16" s="22">
        <f t="shared" si="9"/>
        <v>-19.116526271257957</v>
      </c>
      <c r="AE16" s="22">
        <f t="shared" si="10"/>
        <v>44.454545454545467</v>
      </c>
    </row>
    <row r="17" spans="2:32" x14ac:dyDescent="0.25">
      <c r="O17" s="234">
        <v>0</v>
      </c>
      <c r="P17" s="260">
        <f t="shared" si="1"/>
        <v>31.5</v>
      </c>
      <c r="Q17" s="261">
        <f t="shared" si="2"/>
        <v>10.9</v>
      </c>
      <c r="R17" s="210">
        <f t="shared" si="3"/>
        <v>33.368181818181824</v>
      </c>
      <c r="S17" s="173">
        <f t="shared" si="4"/>
        <v>0</v>
      </c>
      <c r="T17" s="28">
        <v>1.6259999999999999</v>
      </c>
      <c r="U17" s="28">
        <v>0</v>
      </c>
      <c r="V17" s="29">
        <f>IF(Y17=11,$G$25-$G$26*W17/100,V16-$G$26*W17/100)</f>
        <v>88.868181818181824</v>
      </c>
      <c r="W17" s="18">
        <f t="shared" si="5"/>
        <v>1.478181818181818</v>
      </c>
      <c r="X17" s="21">
        <f t="shared" si="6"/>
        <v>33.368181818181824</v>
      </c>
      <c r="Y17" s="28">
        <v>9</v>
      </c>
      <c r="Z17" s="18">
        <f t="shared" si="0"/>
        <v>0</v>
      </c>
      <c r="AA17" s="29">
        <f t="shared" si="11"/>
        <v>0</v>
      </c>
      <c r="AB17" s="22">
        <f t="shared" si="7"/>
        <v>0</v>
      </c>
      <c r="AC17" s="22">
        <f t="shared" si="8"/>
        <v>19.116526271257957</v>
      </c>
      <c r="AD17" s="22">
        <f t="shared" si="9"/>
        <v>-19.116526271257957</v>
      </c>
      <c r="AE17" s="22">
        <f t="shared" si="10"/>
        <v>33.368181818181824</v>
      </c>
    </row>
    <row r="18" spans="2:32" x14ac:dyDescent="0.25">
      <c r="O18" s="234">
        <v>0</v>
      </c>
      <c r="P18" s="260">
        <f t="shared" si="1"/>
        <v>21.1</v>
      </c>
      <c r="Q18" s="261">
        <f t="shared" si="2"/>
        <v>7.3</v>
      </c>
      <c r="R18" s="210">
        <f t="shared" si="3"/>
        <v>22.281818181818181</v>
      </c>
      <c r="S18" s="173">
        <f t="shared" si="4"/>
        <v>0</v>
      </c>
      <c r="T18" s="28">
        <v>1.6259999999999999</v>
      </c>
      <c r="U18" s="28">
        <v>0</v>
      </c>
      <c r="V18" s="29">
        <f>IF(Y18=11,$G$25-$G$26*W18/100,V17-$G$26*W18/100)</f>
        <v>77.781818181818181</v>
      </c>
      <c r="W18" s="18">
        <f t="shared" si="5"/>
        <v>1.478181818181818</v>
      </c>
      <c r="X18" s="21">
        <f t="shared" si="6"/>
        <v>22.281818181818181</v>
      </c>
      <c r="Y18" s="28">
        <v>8</v>
      </c>
      <c r="Z18" s="18">
        <f t="shared" si="0"/>
        <v>0</v>
      </c>
      <c r="AA18" s="29">
        <f t="shared" si="11"/>
        <v>0</v>
      </c>
      <c r="AB18" s="22">
        <f t="shared" si="7"/>
        <v>0</v>
      </c>
      <c r="AC18" s="22">
        <f t="shared" si="8"/>
        <v>19.116526271257957</v>
      </c>
      <c r="AD18" s="22">
        <f t="shared" si="9"/>
        <v>-19.116526271257957</v>
      </c>
      <c r="AE18" s="22">
        <f t="shared" si="10"/>
        <v>22.281818181818181</v>
      </c>
    </row>
    <row r="19" spans="2:32" x14ac:dyDescent="0.25">
      <c r="O19" s="234">
        <v>0</v>
      </c>
      <c r="P19" s="260">
        <f t="shared" si="1"/>
        <v>10.6</v>
      </c>
      <c r="Q19" s="261">
        <f t="shared" si="2"/>
        <v>3.7</v>
      </c>
      <c r="R19" s="210">
        <f t="shared" si="3"/>
        <v>11.195454545454538</v>
      </c>
      <c r="S19" s="173">
        <f t="shared" si="4"/>
        <v>0</v>
      </c>
      <c r="T19" s="28">
        <v>1.6259999999999999</v>
      </c>
      <c r="U19" s="28">
        <v>0</v>
      </c>
      <c r="V19" s="29">
        <f>IF(Y19=11,$G$25-$G$26*W19/100,V18-$G$26*W19/100)</f>
        <v>66.695454545454538</v>
      </c>
      <c r="W19" s="18">
        <f t="shared" si="5"/>
        <v>1.478181818181818</v>
      </c>
      <c r="X19" s="21">
        <f t="shared" si="6"/>
        <v>11.195454545454538</v>
      </c>
      <c r="Y19" s="28">
        <v>7</v>
      </c>
      <c r="Z19" s="18">
        <f t="shared" si="0"/>
        <v>0</v>
      </c>
      <c r="AA19" s="29">
        <f t="shared" si="11"/>
        <v>0</v>
      </c>
      <c r="AB19" s="22">
        <f t="shared" si="7"/>
        <v>0</v>
      </c>
      <c r="AC19" s="22">
        <f t="shared" si="8"/>
        <v>19.116526271257957</v>
      </c>
      <c r="AD19" s="22">
        <f t="shared" si="9"/>
        <v>-19.116526271257957</v>
      </c>
      <c r="AE19" s="22">
        <f t="shared" si="10"/>
        <v>11.195454545454538</v>
      </c>
    </row>
    <row r="20" spans="2:32" x14ac:dyDescent="0.25">
      <c r="O20" s="234">
        <v>0</v>
      </c>
      <c r="P20" s="260">
        <f t="shared" si="1"/>
        <v>0.1</v>
      </c>
      <c r="Q20" s="261">
        <f t="shared" si="2"/>
        <v>0</v>
      </c>
      <c r="R20" s="210">
        <f t="shared" si="3"/>
        <v>0.10909090909090224</v>
      </c>
      <c r="S20" s="173">
        <f t="shared" si="4"/>
        <v>0</v>
      </c>
      <c r="T20" s="28">
        <v>1.6259999999999999</v>
      </c>
      <c r="U20" s="28">
        <v>0</v>
      </c>
      <c r="V20" s="29">
        <f>IF(Y20=11,$G$25-$G$26*W20/100,V19-$G$26*W20/100)</f>
        <v>55.609090909090902</v>
      </c>
      <c r="W20" s="18">
        <f t="shared" si="5"/>
        <v>1.478181818181818</v>
      </c>
      <c r="X20" s="21">
        <f t="shared" si="6"/>
        <v>0.10909090909090224</v>
      </c>
      <c r="Y20" s="28">
        <v>6</v>
      </c>
      <c r="Z20" s="18">
        <f t="shared" si="0"/>
        <v>0</v>
      </c>
      <c r="AA20" s="29">
        <f t="shared" si="11"/>
        <v>0</v>
      </c>
      <c r="AB20" s="22">
        <f t="shared" si="7"/>
        <v>0</v>
      </c>
      <c r="AC20" s="22">
        <f t="shared" si="8"/>
        <v>19.116526271257957</v>
      </c>
      <c r="AD20" s="22">
        <f t="shared" si="9"/>
        <v>-19.116526271257957</v>
      </c>
      <c r="AE20" s="22">
        <f t="shared" si="10"/>
        <v>0.10909090909090224</v>
      </c>
    </row>
    <row r="21" spans="2:32" x14ac:dyDescent="0.25">
      <c r="O21" s="234">
        <v>0</v>
      </c>
      <c r="P21" s="260">
        <f t="shared" si="1"/>
        <v>-10.4</v>
      </c>
      <c r="Q21" s="261">
        <f t="shared" si="2"/>
        <v>-3.6</v>
      </c>
      <c r="R21" s="210">
        <f t="shared" si="3"/>
        <v>-10.977272727272734</v>
      </c>
      <c r="S21" s="173">
        <f t="shared" si="4"/>
        <v>0</v>
      </c>
      <c r="T21" s="28">
        <v>1.6259999999999999</v>
      </c>
      <c r="U21" s="28">
        <v>0</v>
      </c>
      <c r="V21" s="29">
        <f>IF(Y21=11,$G$25-$G$26*W21/100,V20-$G$26*W21/100)</f>
        <v>44.522727272727266</v>
      </c>
      <c r="W21" s="18">
        <f t="shared" si="5"/>
        <v>1.478181818181818</v>
      </c>
      <c r="X21" s="21">
        <f t="shared" si="6"/>
        <v>-10.977272727272734</v>
      </c>
      <c r="Y21" s="28">
        <v>5</v>
      </c>
      <c r="Z21" s="18">
        <f t="shared" si="0"/>
        <v>0</v>
      </c>
      <c r="AA21" s="29">
        <f t="shared" si="11"/>
        <v>0</v>
      </c>
      <c r="AB21" s="22">
        <f t="shared" si="7"/>
        <v>0</v>
      </c>
      <c r="AC21" s="22">
        <f t="shared" si="8"/>
        <v>19.116526271257957</v>
      </c>
      <c r="AD21" s="22">
        <f t="shared" si="9"/>
        <v>-19.116526271257957</v>
      </c>
      <c r="AE21" s="22">
        <f t="shared" si="10"/>
        <v>10.977272727272734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-20.8</v>
      </c>
      <c r="Q22" s="261">
        <f t="shared" si="2"/>
        <v>-7.2</v>
      </c>
      <c r="R22" s="210">
        <f t="shared" si="3"/>
        <v>-22.06363636363637</v>
      </c>
      <c r="S22" s="173">
        <f t="shared" si="4"/>
        <v>0</v>
      </c>
      <c r="T22" s="28">
        <v>1.6259999999999999</v>
      </c>
      <c r="U22" s="28">
        <v>0</v>
      </c>
      <c r="V22" s="29">
        <f>IF(Y22=11,$G$25-$G$26*W22/100,V21-$G$26*W22/100)</f>
        <v>33.43636363636363</v>
      </c>
      <c r="W22" s="18">
        <f t="shared" si="5"/>
        <v>1.478181818181818</v>
      </c>
      <c r="X22" s="21">
        <f t="shared" si="6"/>
        <v>-22.06363636363637</v>
      </c>
      <c r="Y22" s="28">
        <v>4</v>
      </c>
      <c r="Z22" s="18">
        <f t="shared" si="0"/>
        <v>0</v>
      </c>
      <c r="AA22" s="29">
        <f t="shared" si="11"/>
        <v>0</v>
      </c>
      <c r="AB22" s="22">
        <f t="shared" si="7"/>
        <v>0</v>
      </c>
      <c r="AC22" s="22">
        <f t="shared" si="8"/>
        <v>19.116526271257957</v>
      </c>
      <c r="AD22" s="22">
        <f t="shared" si="9"/>
        <v>-19.116526271257957</v>
      </c>
      <c r="AE22" s="22">
        <f t="shared" si="10"/>
        <v>22.06363636363637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67">
        <f>B24</f>
        <v>0.45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-31.3</v>
      </c>
      <c r="Q23" s="261">
        <f t="shared" si="2"/>
        <v>-10.9</v>
      </c>
      <c r="R23" s="210">
        <f t="shared" si="3"/>
        <v>-33.150000000000006</v>
      </c>
      <c r="S23" s="173">
        <f t="shared" si="4"/>
        <v>0</v>
      </c>
      <c r="T23" s="28">
        <v>1.6259999999999999</v>
      </c>
      <c r="U23" s="28">
        <v>0</v>
      </c>
      <c r="V23" s="29">
        <f>IF(Y23=11,$G$25-$G$26*W23/100,V22-$G$26*W23/100)</f>
        <v>22.349999999999994</v>
      </c>
      <c r="W23" s="18">
        <f t="shared" si="5"/>
        <v>1.478181818181818</v>
      </c>
      <c r="X23" s="21">
        <f t="shared" si="6"/>
        <v>-33.150000000000006</v>
      </c>
      <c r="Y23" s="28">
        <v>3</v>
      </c>
      <c r="Z23" s="18">
        <f t="shared" si="0"/>
        <v>0</v>
      </c>
      <c r="AA23" s="29">
        <f t="shared" si="11"/>
        <v>0</v>
      </c>
      <c r="AB23" s="22">
        <f t="shared" si="7"/>
        <v>0</v>
      </c>
      <c r="AC23" s="22">
        <f t="shared" si="8"/>
        <v>19.116526271257957</v>
      </c>
      <c r="AD23" s="22">
        <f t="shared" si="9"/>
        <v>-19.116526271257957</v>
      </c>
      <c r="AE23" s="22">
        <f t="shared" si="10"/>
        <v>33.150000000000006</v>
      </c>
    </row>
    <row r="24" spans="2:32" ht="15.75" x14ac:dyDescent="0.25">
      <c r="B24" s="157">
        <f>'Мощ-Диаметр-Ширина-Шаг-Угол'!T18</f>
        <v>0.45</v>
      </c>
      <c r="C24" s="158">
        <f>'Мощ-Диаметр-Ширина-Шаг-Угол'!U18</f>
        <v>337.5</v>
      </c>
      <c r="D24" s="158">
        <f>'Мощ-Диаметр-Ширина-Шаг-Угол'!V18</f>
        <v>19.116526271257957</v>
      </c>
      <c r="F24" s="149" t="s">
        <v>5</v>
      </c>
      <c r="G24" s="151">
        <f>D24+I24</f>
        <v>19.116526271257957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-41.8</v>
      </c>
      <c r="Q24" s="261">
        <f t="shared" si="2"/>
        <v>-14.5</v>
      </c>
      <c r="R24" s="210">
        <f t="shared" si="3"/>
        <v>-44.236363636363642</v>
      </c>
      <c r="S24" s="173">
        <f t="shared" si="4"/>
        <v>0</v>
      </c>
      <c r="T24" s="28">
        <v>1.6259999999999999</v>
      </c>
      <c r="U24" s="28">
        <v>0</v>
      </c>
      <c r="V24" s="29">
        <f>IF(Y24=11,$G$25-$G$26*W24/100,V23-$G$26*W24/100)</f>
        <v>11.263636363636358</v>
      </c>
      <c r="W24" s="18">
        <f t="shared" si="5"/>
        <v>1.478181818181818</v>
      </c>
      <c r="X24" s="21">
        <f t="shared" si="6"/>
        <v>-44.236363636363642</v>
      </c>
      <c r="Y24" s="28">
        <v>2</v>
      </c>
      <c r="Z24" s="18">
        <f t="shared" si="0"/>
        <v>0</v>
      </c>
      <c r="AA24" s="29">
        <f t="shared" si="11"/>
        <v>0</v>
      </c>
      <c r="AB24" s="22">
        <f t="shared" si="7"/>
        <v>0</v>
      </c>
      <c r="AC24" s="22">
        <f t="shared" si="8"/>
        <v>19.116526271257957</v>
      </c>
      <c r="AD24" s="22">
        <f t="shared" si="9"/>
        <v>-19.116526271257957</v>
      </c>
      <c r="AE24" s="22">
        <f t="shared" si="10"/>
        <v>44.236363636363642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156">
        <f>ROUND((G26*G27/100)*(G22/16.5),0)</f>
        <v>111</v>
      </c>
      <c r="O25" s="234">
        <v>0</v>
      </c>
      <c r="P25" s="262">
        <f>P49</f>
        <v>-53.618389840576761</v>
      </c>
      <c r="Q25" s="263">
        <f>Q49</f>
        <v>-14.774243496840546</v>
      </c>
      <c r="R25" s="210">
        <f t="shared" si="3"/>
        <v>-55.5</v>
      </c>
      <c r="S25" s="173">
        <f t="shared" si="4"/>
        <v>3.6000000000000005</v>
      </c>
      <c r="T25" s="23"/>
      <c r="U25" s="24">
        <v>0.16400000000000001</v>
      </c>
      <c r="V25" s="25">
        <v>0</v>
      </c>
      <c r="W25" s="23"/>
      <c r="X25" s="21">
        <f t="shared" si="6"/>
        <v>-55.5</v>
      </c>
      <c r="Y25" s="26">
        <v>1</v>
      </c>
      <c r="Z25" s="18">
        <f t="shared" si="0"/>
        <v>0.14909090909090908</v>
      </c>
      <c r="AA25" s="25">
        <f>AA4-(-AA24+AA4)/2</f>
        <v>3.6</v>
      </c>
      <c r="AB25" s="22">
        <f>DEGREES(ATAN(AA25/(ABS(X25))))</f>
        <v>3.7112838080208865</v>
      </c>
      <c r="AC25" s="22">
        <f t="shared" si="8"/>
        <v>22.827810079278844</v>
      </c>
      <c r="AD25" s="22">
        <f t="shared" si="9"/>
        <v>-15.405242463237069</v>
      </c>
      <c r="AE25" s="22">
        <f t="shared" si="10"/>
        <v>55.616634202367912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50.641948278923529</v>
      </c>
      <c r="Q26" s="237">
        <f>Q36</f>
        <v>23.361682380493612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153">
        <v>16.3</v>
      </c>
      <c r="O27" s="235"/>
      <c r="P27" s="237">
        <f>P49</f>
        <v>-53.618389840576761</v>
      </c>
      <c r="Q27" s="237">
        <f>Q49</f>
        <v>-14.774243496840546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50.641948278923529</v>
      </c>
      <c r="Q36" s="236">
        <f t="shared" ref="Q36:Q53" si="13">IF(R36&lt;0,AE36*SIN(RADIANS(AD36)),AE36*SIN(RADIANS($AC36)))+O36</f>
        <v>23.361682380493612</v>
      </c>
      <c r="R36" s="224">
        <f t="shared" si="3"/>
        <v>55.5</v>
      </c>
      <c r="S36" s="225">
        <f t="shared" si="4"/>
        <v>5.4886363636363651</v>
      </c>
      <c r="T36" s="202"/>
      <c r="U36" s="202"/>
      <c r="V36" s="202"/>
      <c r="W36" s="202"/>
      <c r="X36" s="203">
        <f>$AG$36*COS(RADIANS($AF36))+$R$14-$AG$36</f>
        <v>55.5</v>
      </c>
      <c r="Y36" s="204"/>
      <c r="Z36" s="204"/>
      <c r="AA36" s="203">
        <f>$S$14+($AG$36*SIN(RADIANS($AF36)))</f>
        <v>5.4886363636363651</v>
      </c>
      <c r="AB36" s="205">
        <f t="shared" ref="AB36:AB53" si="14">DEGREES(ATAN(AA36/(ABS(X36))))</f>
        <v>5.6478643728762083</v>
      </c>
      <c r="AC36" s="205">
        <f t="shared" ref="AC36:AC53" si="15">DEGREES(ATAN(AA36/(ABS(X36))))+$G$24</f>
        <v>24.764390644134167</v>
      </c>
      <c r="AD36" s="205">
        <f t="shared" ref="AD36:AD53" si="16">DEGREES(ATAN(AA36/(ABS(X36))))-$G$24</f>
        <v>-13.468661898381749</v>
      </c>
      <c r="AE36" s="205">
        <f t="shared" ref="AE36:AE53" si="17">SQRT(AA36*AA36+X36*X36)</f>
        <v>55.770737211661739</v>
      </c>
      <c r="AF36" s="206">
        <v>0</v>
      </c>
      <c r="AG36" s="207">
        <f>ROUND($Z$14*$G$26/100,1)</f>
        <v>3</v>
      </c>
      <c r="AI36" s="201"/>
    </row>
    <row r="37" spans="15:35" ht="18" customHeight="1" x14ac:dyDescent="0.25">
      <c r="O37" s="232"/>
      <c r="P37" s="236">
        <f t="shared" si="12"/>
        <v>49.117011717527532</v>
      </c>
      <c r="Q37" s="236">
        <f t="shared" si="13"/>
        <v>25.078262242416702</v>
      </c>
      <c r="R37" s="226">
        <f t="shared" si="3"/>
        <v>54.621320343559645</v>
      </c>
      <c r="S37" s="227">
        <f t="shared" si="4"/>
        <v>7.609956707196007</v>
      </c>
      <c r="T37" s="3"/>
      <c r="U37" s="3"/>
      <c r="V37" s="3"/>
      <c r="W37" s="3"/>
      <c r="X37" s="208">
        <f>$AG$36*COS(RADIANS($AF37))+$R$14-$AG$36</f>
        <v>54.621320343559645</v>
      </c>
      <c r="Y37" s="209"/>
      <c r="Z37" s="209"/>
      <c r="AA37" s="208">
        <f>$S$14+($AG$36*SIN(RADIANS($AF37)))</f>
        <v>7.609956707196007</v>
      </c>
      <c r="AB37" s="210">
        <f t="shared" si="14"/>
        <v>7.9315123324842167</v>
      </c>
      <c r="AC37" s="210">
        <f t="shared" si="15"/>
        <v>27.048038603742175</v>
      </c>
      <c r="AD37" s="210">
        <f t="shared" si="16"/>
        <v>-11.185013938773739</v>
      </c>
      <c r="AE37" s="210">
        <f t="shared" si="17"/>
        <v>55.148890080935992</v>
      </c>
      <c r="AF37" s="211">
        <v>45</v>
      </c>
      <c r="AG37" s="212" t="str">
        <f>CONCATENATE("r1=",$AG$36)</f>
        <v>r1=3</v>
      </c>
      <c r="AH37" s="201"/>
      <c r="AI37" s="201"/>
    </row>
    <row r="38" spans="15:35" ht="18" customHeight="1" x14ac:dyDescent="0.25">
      <c r="O38" s="232"/>
      <c r="P38" s="236">
        <f t="shared" si="12"/>
        <v>46.824913473271046</v>
      </c>
      <c r="Q38" s="236">
        <f>IF(R38&lt;0,AE38*SIN(RADIANS(AD38)),AE38*SIN(RADIANS($AC38)))+O38</f>
        <v>25.213774519788384</v>
      </c>
      <c r="R38" s="226">
        <f t="shared" si="3"/>
        <v>52.500000000000007</v>
      </c>
      <c r="S38" s="227">
        <f t="shared" si="4"/>
        <v>8.4886363636363651</v>
      </c>
      <c r="T38" s="3"/>
      <c r="U38" s="3"/>
      <c r="V38" s="3"/>
      <c r="W38" s="3"/>
      <c r="X38" s="208">
        <f>$AG$36*COS(RADIANS($AF38))+$R$14-$AG$36</f>
        <v>52.5</v>
      </c>
      <c r="Y38" s="209"/>
      <c r="Z38" s="209"/>
      <c r="AA38" s="208">
        <f>$S$14+($AG$36*SIN(RADIANS($AF38)))</f>
        <v>8.4886363636363651</v>
      </c>
      <c r="AB38" s="210">
        <f t="shared" si="14"/>
        <v>9.1845705785614715</v>
      </c>
      <c r="AC38" s="210">
        <f t="shared" si="15"/>
        <v>28.30109684981943</v>
      </c>
      <c r="AD38" s="210">
        <f t="shared" si="16"/>
        <v>-9.9319556926964854</v>
      </c>
      <c r="AE38" s="210">
        <f t="shared" si="17"/>
        <v>53.181829108390488</v>
      </c>
      <c r="AF38" s="211">
        <v>90</v>
      </c>
      <c r="AG38" s="213"/>
    </row>
    <row r="39" spans="15:35" x14ac:dyDescent="0.25">
      <c r="O39" s="232"/>
      <c r="P39" s="236">
        <f t="shared" si="12"/>
        <v>45.108333611347945</v>
      </c>
      <c r="Q39" s="236">
        <f t="shared" si="13"/>
        <v>23.688837958392384</v>
      </c>
      <c r="R39" s="226">
        <f t="shared" si="3"/>
        <v>50.378679656440355</v>
      </c>
      <c r="S39" s="227">
        <f t="shared" si="4"/>
        <v>7.6099567071960088</v>
      </c>
      <c r="T39" s="3"/>
      <c r="U39" s="3"/>
      <c r="V39" s="3"/>
      <c r="W39" s="3"/>
      <c r="X39" s="208">
        <f>$AG$36*COS(RADIANS($AF39))+$R$14-$AG$36</f>
        <v>50.378679656440355</v>
      </c>
      <c r="Y39" s="209"/>
      <c r="Z39" s="209"/>
      <c r="AA39" s="208">
        <f>$S$14+($AG$36*SIN(RADIANS($AF39)))</f>
        <v>7.6099567071960079</v>
      </c>
      <c r="AB39" s="210">
        <f t="shared" si="14"/>
        <v>8.5898791972809168</v>
      </c>
      <c r="AC39" s="210">
        <f t="shared" si="15"/>
        <v>27.706405468538875</v>
      </c>
      <c r="AD39" s="210">
        <f t="shared" si="16"/>
        <v>-10.52664707397704</v>
      </c>
      <c r="AE39" s="210">
        <f t="shared" si="17"/>
        <v>50.950199263708818</v>
      </c>
      <c r="AF39" s="211">
        <v>135</v>
      </c>
      <c r="AG39" s="213"/>
    </row>
    <row r="40" spans="15:35" x14ac:dyDescent="0.25">
      <c r="O40" s="232"/>
      <c r="P40" s="236">
        <f t="shared" si="12"/>
        <v>44.97282133397627</v>
      </c>
      <c r="Q40" s="236">
        <f t="shared" si="13"/>
        <v>21.39673971413589</v>
      </c>
      <c r="R40" s="226">
        <f t="shared" si="3"/>
        <v>49.499999999999993</v>
      </c>
      <c r="S40" s="227">
        <f t="shared" si="4"/>
        <v>5.4886363636363642</v>
      </c>
      <c r="T40" s="3"/>
      <c r="U40" s="3"/>
      <c r="V40" s="3"/>
      <c r="W40" s="3"/>
      <c r="X40" s="208">
        <f>$AG$36*COS(RADIANS($AF40))+$R$14-$AG$36</f>
        <v>49.5</v>
      </c>
      <c r="Y40" s="209"/>
      <c r="Z40" s="209"/>
      <c r="AA40" s="208">
        <f>$S$14+($AG$36*SIN(RADIANS($AF40)))</f>
        <v>5.4886363636363651</v>
      </c>
      <c r="AB40" s="210">
        <f t="shared" si="14"/>
        <v>6.3271985237772688</v>
      </c>
      <c r="AC40" s="210">
        <f t="shared" si="15"/>
        <v>25.443724795035227</v>
      </c>
      <c r="AD40" s="210">
        <f t="shared" si="16"/>
        <v>-12.789327747480687</v>
      </c>
      <c r="AE40" s="210">
        <f t="shared" si="17"/>
        <v>49.803364636661158</v>
      </c>
      <c r="AF40" s="211">
        <v>180</v>
      </c>
      <c r="AG40" s="213"/>
    </row>
    <row r="41" spans="15:35" x14ac:dyDescent="0.25">
      <c r="O41" s="232"/>
      <c r="P41" s="236">
        <f t="shared" si="12"/>
        <v>46.497757895372267</v>
      </c>
      <c r="Q41" s="236">
        <f t="shared" si="13"/>
        <v>19.6801598522128</v>
      </c>
      <c r="R41" s="226">
        <f t="shared" si="3"/>
        <v>50.378679656440355</v>
      </c>
      <c r="S41" s="227">
        <f t="shared" si="4"/>
        <v>3.3673160200767218</v>
      </c>
      <c r="T41" s="3"/>
      <c r="U41" s="3"/>
      <c r="V41" s="3"/>
      <c r="W41" s="3"/>
      <c r="X41" s="208">
        <f>$AG$36*COS(RADIANS($AF41))+$R$14-$AG$36</f>
        <v>50.378679656440355</v>
      </c>
      <c r="Y41" s="209"/>
      <c r="Z41" s="209"/>
      <c r="AA41" s="208">
        <f>$S$14+($AG$36*SIN(RADIANS($AF41)))</f>
        <v>3.3673160200767223</v>
      </c>
      <c r="AB41" s="210">
        <f t="shared" si="14"/>
        <v>3.8239677877880554</v>
      </c>
      <c r="AC41" s="210">
        <f t="shared" si="15"/>
        <v>22.940494059046014</v>
      </c>
      <c r="AD41" s="210">
        <f t="shared" si="16"/>
        <v>-15.292558483469902</v>
      </c>
      <c r="AE41" s="210">
        <f t="shared" si="17"/>
        <v>50.491090116032375</v>
      </c>
      <c r="AF41" s="211">
        <v>-135</v>
      </c>
      <c r="AG41" s="213"/>
    </row>
    <row r="42" spans="15:35" x14ac:dyDescent="0.25">
      <c r="O42" s="232"/>
      <c r="P42" s="236">
        <f t="shared" si="12"/>
        <v>48.78985613962876</v>
      </c>
      <c r="Q42" s="236">
        <f t="shared" si="13"/>
        <v>19.544647574841118</v>
      </c>
      <c r="R42" s="226">
        <f t="shared" si="3"/>
        <v>52.5</v>
      </c>
      <c r="S42" s="227">
        <f t="shared" si="4"/>
        <v>2.4886363636363651</v>
      </c>
      <c r="T42" s="3"/>
      <c r="U42" s="3"/>
      <c r="V42" s="3"/>
      <c r="W42" s="3"/>
      <c r="X42" s="208">
        <f>$AG$36*COS(RADIANS($AF42))+$R$14-$AG$36</f>
        <v>52.5</v>
      </c>
      <c r="Y42" s="209"/>
      <c r="Z42" s="209"/>
      <c r="AA42" s="208">
        <f>$S$14+($AG$36*SIN(RADIANS($AF42)))</f>
        <v>2.4886363636363651</v>
      </c>
      <c r="AB42" s="210">
        <f t="shared" si="14"/>
        <v>2.7139372410800466</v>
      </c>
      <c r="AC42" s="210">
        <f t="shared" si="15"/>
        <v>21.830463512338003</v>
      </c>
      <c r="AD42" s="210">
        <f t="shared" si="16"/>
        <v>-16.402589030177911</v>
      </c>
      <c r="AE42" s="210">
        <f t="shared" si="17"/>
        <v>52.558950816682149</v>
      </c>
      <c r="AF42" s="211">
        <v>-90</v>
      </c>
      <c r="AG42" s="213"/>
    </row>
    <row r="43" spans="15:35" x14ac:dyDescent="0.25">
      <c r="O43" s="232"/>
      <c r="P43" s="236">
        <f t="shared" si="12"/>
        <v>50.506436001551855</v>
      </c>
      <c r="Q43" s="236">
        <f t="shared" si="13"/>
        <v>21.069584136237122</v>
      </c>
      <c r="R43" s="226">
        <f t="shared" si="3"/>
        <v>54.621320343559653</v>
      </c>
      <c r="S43" s="227">
        <f t="shared" si="4"/>
        <v>3.3673160200767231</v>
      </c>
      <c r="T43" s="3"/>
      <c r="U43" s="3"/>
      <c r="V43" s="3"/>
      <c r="W43" s="3"/>
      <c r="X43" s="208">
        <f>$AG$36*COS(RADIANS($AF43))+$R$14-$AG$36</f>
        <v>54.621320343559645</v>
      </c>
      <c r="Y43" s="209"/>
      <c r="Z43" s="209"/>
      <c r="AA43" s="208">
        <f>$S$14+($AG$36*SIN(RADIANS($AF43)))</f>
        <v>3.3673160200767227</v>
      </c>
      <c r="AB43" s="210">
        <f t="shared" si="14"/>
        <v>3.5277275509033381</v>
      </c>
      <c r="AC43" s="210">
        <f t="shared" si="15"/>
        <v>22.644253822161296</v>
      </c>
      <c r="AD43" s="210">
        <f t="shared" si="16"/>
        <v>-15.588798720354619</v>
      </c>
      <c r="AE43" s="210">
        <f t="shared" si="17"/>
        <v>54.72501670399771</v>
      </c>
      <c r="AF43" s="211">
        <v>-45</v>
      </c>
      <c r="AG43" s="213"/>
    </row>
    <row r="44" spans="15:35" x14ac:dyDescent="0.25">
      <c r="O44" s="232"/>
      <c r="P44" s="236">
        <f t="shared" si="12"/>
        <v>50.641948278923529</v>
      </c>
      <c r="Q44" s="236">
        <f t="shared" si="13"/>
        <v>23.361682380493612</v>
      </c>
      <c r="R44" s="228">
        <f t="shared" si="3"/>
        <v>55.5</v>
      </c>
      <c r="S44" s="229">
        <f t="shared" si="4"/>
        <v>5.4886363636363651</v>
      </c>
      <c r="T44" s="214"/>
      <c r="U44" s="214"/>
      <c r="V44" s="214"/>
      <c r="W44" s="214"/>
      <c r="X44" s="215">
        <f>$AG$36*COS(RADIANS($AF44))+$R$14-$AG$36</f>
        <v>55.5</v>
      </c>
      <c r="Y44" s="216"/>
      <c r="Z44" s="216"/>
      <c r="AA44" s="215">
        <f>$S$14+($AG$36*SIN(RADIANS($AF44)))</f>
        <v>5.4886363636363651</v>
      </c>
      <c r="AB44" s="217">
        <f t="shared" si="14"/>
        <v>5.6478643728762083</v>
      </c>
      <c r="AC44" s="217">
        <f t="shared" si="15"/>
        <v>24.764390644134167</v>
      </c>
      <c r="AD44" s="217">
        <f t="shared" si="16"/>
        <v>-13.468661898381749</v>
      </c>
      <c r="AE44" s="217">
        <f t="shared" si="17"/>
        <v>55.770737211661739</v>
      </c>
      <c r="AF44" s="218">
        <v>0</v>
      </c>
      <c r="AG44" s="219"/>
    </row>
    <row r="45" spans="15:35" x14ac:dyDescent="0.25">
      <c r="O45" s="232"/>
      <c r="P45" s="236">
        <f t="shared" si="12"/>
        <v>-51.539709960762764</v>
      </c>
      <c r="Q45" s="236">
        <f t="shared" si="13"/>
        <v>-14.053764519176047</v>
      </c>
      <c r="R45" s="224">
        <f t="shared" si="3"/>
        <v>-53.300000000000004</v>
      </c>
      <c r="S45" s="225">
        <f t="shared" si="4"/>
        <v>3.600000000000001</v>
      </c>
      <c r="T45" s="202"/>
      <c r="U45" s="202"/>
      <c r="V45" s="202"/>
      <c r="W45" s="202"/>
      <c r="X45" s="203">
        <f>$AG$45*COS(RADIANS(AF45))+$R$25+$AG$45</f>
        <v>-53.3</v>
      </c>
      <c r="Y45" s="220"/>
      <c r="Z45" s="220"/>
      <c r="AA45" s="203">
        <f>$S$25+($AG$45*SIN(RADIANS($AF45)))</f>
        <v>3.6000000000000005</v>
      </c>
      <c r="AB45" s="205">
        <f t="shared" si="14"/>
        <v>3.8640151100995666</v>
      </c>
      <c r="AC45" s="205">
        <f t="shared" si="15"/>
        <v>22.980541381357522</v>
      </c>
      <c r="AD45" s="205">
        <f t="shared" si="16"/>
        <v>-15.25251116115839</v>
      </c>
      <c r="AE45" s="205">
        <f t="shared" si="17"/>
        <v>53.421437644451316</v>
      </c>
      <c r="AF45" s="206">
        <v>0</v>
      </c>
      <c r="AG45" s="207">
        <f>ROUND($Z$25*$G$26/100,1)</f>
        <v>1.1000000000000001</v>
      </c>
    </row>
    <row r="46" spans="15:35" x14ac:dyDescent="0.25">
      <c r="O46" s="232"/>
      <c r="P46" s="236">
        <f t="shared" si="12"/>
        <v>-52.098853366607955</v>
      </c>
      <c r="Q46" s="236">
        <f t="shared" si="13"/>
        <v>-13.424351903137582</v>
      </c>
      <c r="R46" s="226">
        <f t="shared" si="3"/>
        <v>-53.622182540694794</v>
      </c>
      <c r="S46" s="227">
        <f t="shared" si="4"/>
        <v>4.3778174593052022</v>
      </c>
      <c r="T46" s="3"/>
      <c r="U46" s="3"/>
      <c r="V46" s="3"/>
      <c r="W46" s="3"/>
      <c r="X46" s="208">
        <f>$AG$45*COS(RADIANS(AF46))+$R$25+$AG$45</f>
        <v>-53.622182540694794</v>
      </c>
      <c r="Y46" s="221"/>
      <c r="Z46" s="221"/>
      <c r="AA46" s="208">
        <f>$S$25+($AG$45*SIN(RADIANS($AF46)))</f>
        <v>4.3778174593052031</v>
      </c>
      <c r="AB46" s="210">
        <f t="shared" si="14"/>
        <v>4.6673853054428029</v>
      </c>
      <c r="AC46" s="210">
        <f t="shared" si="15"/>
        <v>23.78391157670076</v>
      </c>
      <c r="AD46" s="210">
        <f t="shared" si="16"/>
        <v>-14.449140965815154</v>
      </c>
      <c r="AE46" s="210">
        <f t="shared" si="17"/>
        <v>53.800592432933215</v>
      </c>
      <c r="AF46" s="211">
        <v>45</v>
      </c>
      <c r="AG46" s="212" t="str">
        <f>CONCATENATE("r2=",$AG$45)</f>
        <v>r2=1,1</v>
      </c>
    </row>
    <row r="47" spans="15:35" x14ac:dyDescent="0.25">
      <c r="O47" s="232"/>
      <c r="P47" s="236">
        <f t="shared" si="12"/>
        <v>-52.939289389502008</v>
      </c>
      <c r="Q47" s="236">
        <f t="shared" si="13"/>
        <v>-13.3746640681013</v>
      </c>
      <c r="R47" s="226">
        <f t="shared" si="3"/>
        <v>-54.4</v>
      </c>
      <c r="S47" s="227">
        <f t="shared" si="4"/>
        <v>4.7000000000000011</v>
      </c>
      <c r="T47" s="3"/>
      <c r="U47" s="3"/>
      <c r="V47" s="3"/>
      <c r="W47" s="3"/>
      <c r="X47" s="208">
        <f>$AG$45*COS(RADIANS(AF47))+$R$25+$AG$45</f>
        <v>-54.4</v>
      </c>
      <c r="Y47" s="221"/>
      <c r="Z47" s="221"/>
      <c r="AA47" s="208">
        <f>$S$25+($AG$45*SIN(RADIANS($AF47)))</f>
        <v>4.7000000000000011</v>
      </c>
      <c r="AB47" s="210">
        <f t="shared" si="14"/>
        <v>4.9379248931611963</v>
      </c>
      <c r="AC47" s="210">
        <f t="shared" si="15"/>
        <v>24.054451164419152</v>
      </c>
      <c r="AD47" s="210">
        <f t="shared" si="16"/>
        <v>-14.178601378096761</v>
      </c>
      <c r="AE47" s="210">
        <f t="shared" si="17"/>
        <v>54.602655613074347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-53.568702005540473</v>
      </c>
      <c r="Q48" s="236">
        <f t="shared" si="13"/>
        <v>-13.933807473946503</v>
      </c>
      <c r="R48" s="226">
        <f t="shared" si="3"/>
        <v>-55.177817459305196</v>
      </c>
      <c r="S48" s="227">
        <f t="shared" si="4"/>
        <v>4.3778174593052031</v>
      </c>
      <c r="T48" s="3"/>
      <c r="U48" s="3"/>
      <c r="V48" s="3"/>
      <c r="W48" s="3"/>
      <c r="X48" s="208">
        <f>$AG$45*COS(RADIANS(AF48))+$R$25+$AG$45</f>
        <v>-55.177817459305203</v>
      </c>
      <c r="Y48" s="221"/>
      <c r="Z48" s="221"/>
      <c r="AA48" s="208">
        <f>$S$25+($AG$45*SIN(RADIANS($AF48)))</f>
        <v>4.3778174593052031</v>
      </c>
      <c r="AB48" s="210">
        <f t="shared" si="14"/>
        <v>4.5363542802303494</v>
      </c>
      <c r="AC48" s="210">
        <f t="shared" si="15"/>
        <v>23.652880551488305</v>
      </c>
      <c r="AD48" s="210">
        <f t="shared" si="16"/>
        <v>-14.580171991027608</v>
      </c>
      <c r="AE48" s="210">
        <f t="shared" si="17"/>
        <v>55.351213403857763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-53.618389840576761</v>
      </c>
      <c r="Q49" s="236">
        <f t="shared" si="13"/>
        <v>-14.774243496840546</v>
      </c>
      <c r="R49" s="226">
        <f t="shared" si="3"/>
        <v>-55.5</v>
      </c>
      <c r="S49" s="227">
        <f t="shared" si="4"/>
        <v>3.6000000000000005</v>
      </c>
      <c r="T49" s="3"/>
      <c r="U49" s="3"/>
      <c r="V49" s="3"/>
      <c r="W49" s="3"/>
      <c r="X49" s="208">
        <f>$AG$45*COS(RADIANS(AF49))+$R$25+$AG$45</f>
        <v>-55.5</v>
      </c>
      <c r="Y49" s="221"/>
      <c r="Z49" s="221"/>
      <c r="AA49" s="208">
        <f>$S$25+($AG$45*SIN(RADIANS($AF49)))</f>
        <v>3.6000000000000005</v>
      </c>
      <c r="AB49" s="210">
        <f t="shared" si="14"/>
        <v>3.7112838080208865</v>
      </c>
      <c r="AC49" s="210">
        <f t="shared" si="15"/>
        <v>22.827810079278844</v>
      </c>
      <c r="AD49" s="210">
        <f t="shared" si="16"/>
        <v>-15.405242463237069</v>
      </c>
      <c r="AE49" s="210">
        <f t="shared" si="17"/>
        <v>55.616634202367912</v>
      </c>
      <c r="AF49" s="211">
        <v>180</v>
      </c>
      <c r="AG49" s="213"/>
    </row>
    <row r="50" spans="15:33" x14ac:dyDescent="0.25">
      <c r="O50" s="232"/>
      <c r="P50" s="236">
        <f t="shared" si="12"/>
        <v>-53.059246434731556</v>
      </c>
      <c r="Q50" s="236">
        <f t="shared" si="13"/>
        <v>-15.403656112879016</v>
      </c>
      <c r="R50" s="226">
        <f t="shared" si="3"/>
        <v>-55.177817459305203</v>
      </c>
      <c r="S50" s="227">
        <f t="shared" si="4"/>
        <v>2.8221825406947976</v>
      </c>
      <c r="T50" s="3"/>
      <c r="U50" s="3"/>
      <c r="V50" s="3"/>
      <c r="W50" s="3"/>
      <c r="X50" s="208">
        <f>$AG$45*COS(RADIANS(AF50))+$R$25+$AG$45</f>
        <v>-55.177817459305203</v>
      </c>
      <c r="Y50" s="221"/>
      <c r="Z50" s="221"/>
      <c r="AA50" s="208">
        <f>$S$25+($AG$45*SIN(RADIANS($AF50)))</f>
        <v>2.822182540694798</v>
      </c>
      <c r="AB50" s="210">
        <f t="shared" si="14"/>
        <v>2.9279586285493595</v>
      </c>
      <c r="AC50" s="210">
        <f t="shared" si="15"/>
        <v>22.044484899807316</v>
      </c>
      <c r="AD50" s="210">
        <f t="shared" si="16"/>
        <v>-16.188567642708598</v>
      </c>
      <c r="AE50" s="210">
        <f t="shared" si="17"/>
        <v>55.249943473866182</v>
      </c>
      <c r="AF50" s="211">
        <v>-135</v>
      </c>
      <c r="AG50" s="213"/>
    </row>
    <row r="51" spans="15:33" x14ac:dyDescent="0.25">
      <c r="O51" s="232"/>
      <c r="P51" s="236">
        <f t="shared" si="12"/>
        <v>-52.218810411837502</v>
      </c>
      <c r="Q51" s="236">
        <f t="shared" si="13"/>
        <v>-15.453343947915297</v>
      </c>
      <c r="R51" s="226">
        <f t="shared" si="3"/>
        <v>-54.399999999999991</v>
      </c>
      <c r="S51" s="227">
        <f t="shared" si="4"/>
        <v>2.5000000000000004</v>
      </c>
      <c r="T51" s="3"/>
      <c r="U51" s="3"/>
      <c r="V51" s="3"/>
      <c r="W51" s="3"/>
      <c r="X51" s="208">
        <f>$AG$45*COS(RADIANS(AF51))+$R$25+$AG$45</f>
        <v>-54.4</v>
      </c>
      <c r="Y51" s="221"/>
      <c r="Z51" s="221"/>
      <c r="AA51" s="208">
        <f>$S$25+($AG$45*SIN(RADIANS($AF51)))</f>
        <v>2.5000000000000004</v>
      </c>
      <c r="AB51" s="210">
        <f t="shared" si="14"/>
        <v>2.6312268108877963</v>
      </c>
      <c r="AC51" s="210">
        <f t="shared" si="15"/>
        <v>21.747753082145753</v>
      </c>
      <c r="AD51" s="210">
        <f t="shared" si="16"/>
        <v>-16.485299460370161</v>
      </c>
      <c r="AE51" s="210">
        <f t="shared" si="17"/>
        <v>54.457414554861117</v>
      </c>
      <c r="AF51" s="211">
        <v>-90</v>
      </c>
      <c r="AG51" s="213"/>
    </row>
    <row r="52" spans="15:33" x14ac:dyDescent="0.25">
      <c r="O52" s="232"/>
      <c r="P52" s="236">
        <f t="shared" si="12"/>
        <v>-51.589397795799037</v>
      </c>
      <c r="Q52" s="236">
        <f t="shared" si="13"/>
        <v>-14.894200542070095</v>
      </c>
      <c r="R52" s="226">
        <f t="shared" si="3"/>
        <v>-53.622182540694787</v>
      </c>
      <c r="S52" s="227">
        <f t="shared" si="4"/>
        <v>2.8221825406947976</v>
      </c>
      <c r="T52" s="3"/>
      <c r="U52" s="3"/>
      <c r="V52" s="3"/>
      <c r="W52" s="3"/>
      <c r="X52" s="208">
        <f>$AG$45*COS(RADIANS(AF52))+$R$25+$AG$45</f>
        <v>-53.622182540694794</v>
      </c>
      <c r="Y52" s="221"/>
      <c r="Z52" s="221"/>
      <c r="AA52" s="208">
        <f>$S$25+($AG$45*SIN(RADIANS($AF52)))</f>
        <v>2.822182540694798</v>
      </c>
      <c r="AB52" s="210">
        <f t="shared" si="14"/>
        <v>3.0127474466615265</v>
      </c>
      <c r="AC52" s="210">
        <f t="shared" si="15"/>
        <v>22.129273717919482</v>
      </c>
      <c r="AD52" s="210">
        <f t="shared" si="16"/>
        <v>-16.103778824596432</v>
      </c>
      <c r="AE52" s="210">
        <f t="shared" si="17"/>
        <v>53.696398154071709</v>
      </c>
      <c r="AF52" s="211">
        <v>-45</v>
      </c>
      <c r="AG52" s="213"/>
    </row>
    <row r="53" spans="15:33" x14ac:dyDescent="0.25">
      <c r="O53" s="232"/>
      <c r="P53" s="236">
        <f t="shared" si="12"/>
        <v>-51.539709960762764</v>
      </c>
      <c r="Q53" s="236">
        <f t="shared" si="13"/>
        <v>-14.053764519176047</v>
      </c>
      <c r="R53" s="228">
        <f t="shared" si="3"/>
        <v>-53.300000000000004</v>
      </c>
      <c r="S53" s="229">
        <f t="shared" si="4"/>
        <v>3.600000000000001</v>
      </c>
      <c r="T53" s="214"/>
      <c r="U53" s="214"/>
      <c r="V53" s="214"/>
      <c r="W53" s="214"/>
      <c r="X53" s="215">
        <f>$AG$45*COS(RADIANS(AF53))+$R$25+$AG$45</f>
        <v>-53.3</v>
      </c>
      <c r="Y53" s="222"/>
      <c r="Z53" s="222"/>
      <c r="AA53" s="215">
        <f>$S$25+($AG$45*SIN(RADIANS($AF53)))</f>
        <v>3.6000000000000005</v>
      </c>
      <c r="AB53" s="217">
        <f t="shared" si="14"/>
        <v>3.8640151100995666</v>
      </c>
      <c r="AC53" s="217">
        <f t="shared" si="15"/>
        <v>22.980541381357522</v>
      </c>
      <c r="AD53" s="217">
        <f t="shared" si="16"/>
        <v>-15.25251116115839</v>
      </c>
      <c r="AE53" s="217">
        <f t="shared" si="17"/>
        <v>53.421437644451316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M31" activePane="bottomRight" state="frozen"/>
      <selection pane="topRight" activeCell="AH1" sqref="AH1"/>
      <selection pane="bottomLeft" activeCell="A31" sqref="A31"/>
      <selection pane="bottomRight" activeCell="J27" sqref="J27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-44.7</v>
      </c>
      <c r="Q4" s="255">
        <f>ROUND(IF(R4&lt;0,AE4*SIN(RADIANS(AD4)),AE4*SIN(RADIANS($AC4)))+O4,1)</f>
        <v>-6.2</v>
      </c>
      <c r="R4" s="210">
        <f>IF(X4&lt;0,-AE4*COS(RADIANS(AB4)),AE4*COS(RADIANS(AB4)))</f>
        <v>-44.81818181818182</v>
      </c>
      <c r="S4" s="173">
        <f>IF(X4&lt;0,AE4*SIN(RADIANS(AB4)),AE4*SIN(RADIANS(AB4)))</f>
        <v>5.25</v>
      </c>
      <c r="T4" s="22">
        <v>1.64</v>
      </c>
      <c r="U4" s="19">
        <v>0.77</v>
      </c>
      <c r="V4" s="20">
        <f>IF(Y4=1,$G$26*W4/100,V3+$G$26*W4/100)</f>
        <v>11.18181818181818</v>
      </c>
      <c r="W4" s="18">
        <f>T4*$G$22/16.5</f>
        <v>1.4909090909090907</v>
      </c>
      <c r="X4" s="21">
        <f>V4-$G$25/2</f>
        <v>-44.81818181818182</v>
      </c>
      <c r="Y4" s="19">
        <v>2</v>
      </c>
      <c r="Z4" s="18">
        <f t="shared" ref="Z4:Z25" si="0">U4*$G$22/16.5</f>
        <v>0.70000000000000007</v>
      </c>
      <c r="AA4" s="20">
        <f>$G$26*Z4/100</f>
        <v>5.25</v>
      </c>
      <c r="AB4" s="22">
        <f>DEGREES(ATAN(AA4/(ABS(X4))))</f>
        <v>6.6811771193415117</v>
      </c>
      <c r="AC4" s="22">
        <f>DEGREES(ATAN(AA4/(ABS(X4))))+$G$24</f>
        <v>21.252875094609898</v>
      </c>
      <c r="AD4" s="22">
        <f>DEGREES(ATAN(AA4/(ABS(X4))))-$G$24</f>
        <v>-7.8905208559268738</v>
      </c>
      <c r="AE4" s="22">
        <f>SQRT(AA4*AA4+X4*X4)</f>
        <v>45.124626552333964</v>
      </c>
    </row>
    <row r="5" spans="15:31" x14ac:dyDescent="0.25">
      <c r="O5" s="234">
        <v>1.3</v>
      </c>
      <c r="P5" s="256">
        <f t="shared" ref="P5:P24" si="1">ROUND(IF(R5&lt;0,-AE5*COS(RADIANS(AD5)),AE5*COS(RADIANS(AC5))),1)</f>
        <v>-34.299999999999997</v>
      </c>
      <c r="Q5" s="257">
        <f t="shared" ref="Q5:Q24" si="2">ROUND(IF(R5&lt;0,AE5*SIN(RADIANS(AD5)),AE5*SIN(RADIANS($AC5)))+O5,1)</f>
        <v>-0.5</v>
      </c>
      <c r="R5" s="210">
        <f t="shared" ref="R5:R53" si="3">IF(X5&lt;0,-AE5*COS(RADIANS(AB5)),AE5*COS(RADIANS(AB5)))</f>
        <v>-33.63636363636364</v>
      </c>
      <c r="S5" s="173">
        <f t="shared" ref="S5:S53" si="4">IF(X5&lt;0,AE5*SIN(RADIANS(AB5)),AE5*SIN(RADIANS(AB5)))</f>
        <v>6.9</v>
      </c>
      <c r="T5" s="22">
        <v>1.64</v>
      </c>
      <c r="U5" s="19">
        <v>1.012</v>
      </c>
      <c r="V5" s="20">
        <f>IF(Y5=1,$G$26*W5/100,V4+$G$26*W5/100)</f>
        <v>22.36363636363636</v>
      </c>
      <c r="W5" s="18">
        <f t="shared" ref="W5:W24" si="5">T5*$G$22/16.5</f>
        <v>1.4909090909090907</v>
      </c>
      <c r="X5" s="21">
        <f t="shared" ref="X5:X25" si="6">V5-$G$25/2</f>
        <v>-33.63636363636364</v>
      </c>
      <c r="Y5" s="19">
        <v>3</v>
      </c>
      <c r="Z5" s="18">
        <f t="shared" si="0"/>
        <v>0.91999999999999993</v>
      </c>
      <c r="AA5" s="20">
        <f>$G$26*Z5/100</f>
        <v>6.9</v>
      </c>
      <c r="AB5" s="22">
        <f t="shared" ref="AB5:AB24" si="7">DEGREES(ATAN(AA5/(ABS(X5))))</f>
        <v>11.592556437207731</v>
      </c>
      <c r="AC5" s="22">
        <f t="shared" ref="AC5:AC25" si="8">DEGREES(ATAN(AA5/(ABS(X5))))+$G$24</f>
        <v>26.164254412476119</v>
      </c>
      <c r="AD5" s="22">
        <f t="shared" ref="AD5:AD25" si="9">DEGREES(ATAN(AA5/(ABS(X5))))-$G$24</f>
        <v>-2.9791415380606541</v>
      </c>
      <c r="AE5" s="22">
        <f>SQRT(AA5*AA5+X5*X5)</f>
        <v>34.33678725037749</v>
      </c>
    </row>
    <row r="6" spans="15:31" x14ac:dyDescent="0.25">
      <c r="O6" s="234">
        <v>0</v>
      </c>
      <c r="P6" s="256">
        <f t="shared" si="1"/>
        <v>-24.4</v>
      </c>
      <c r="Q6" s="257">
        <f t="shared" si="2"/>
        <v>4.7</v>
      </c>
      <c r="R6" s="210">
        <f t="shared" si="3"/>
        <v>-22.45454545454546</v>
      </c>
      <c r="S6" s="173">
        <f t="shared" si="4"/>
        <v>10.71818181818182</v>
      </c>
      <c r="T6" s="22">
        <v>1.64</v>
      </c>
      <c r="U6" s="19">
        <v>1.5720000000000001</v>
      </c>
      <c r="V6" s="20">
        <f>IF(Y6=1,$G$26*W6/100,V5+$G$26*W6/100)</f>
        <v>33.54545454545454</v>
      </c>
      <c r="W6" s="18">
        <f t="shared" si="5"/>
        <v>1.4909090909090907</v>
      </c>
      <c r="X6" s="21">
        <f t="shared" si="6"/>
        <v>-22.45454545454546</v>
      </c>
      <c r="Y6" s="19">
        <v>4</v>
      </c>
      <c r="Z6" s="18">
        <f t="shared" si="0"/>
        <v>1.4290909090909092</v>
      </c>
      <c r="AA6" s="20">
        <f>$G$26*Z6/100</f>
        <v>10.71818181818182</v>
      </c>
      <c r="AB6" s="22">
        <f t="shared" si="7"/>
        <v>25.516446695917899</v>
      </c>
      <c r="AC6" s="22">
        <f t="shared" si="8"/>
        <v>40.088144671186285</v>
      </c>
      <c r="AD6" s="22">
        <f t="shared" si="9"/>
        <v>10.944748720649514</v>
      </c>
      <c r="AE6" s="22">
        <f>SQRT(AA6*AA6+X6*X6)</f>
        <v>24.881439529453505</v>
      </c>
    </row>
    <row r="7" spans="15:31" x14ac:dyDescent="0.25">
      <c r="O7" s="234">
        <v>0</v>
      </c>
      <c r="P7" s="256">
        <f t="shared" si="1"/>
        <v>-14.1</v>
      </c>
      <c r="Q7" s="257">
        <f t="shared" si="2"/>
        <v>9.3000000000000007</v>
      </c>
      <c r="R7" s="210">
        <f t="shared" si="3"/>
        <v>-11.27272727272728</v>
      </c>
      <c r="S7" s="173">
        <f t="shared" si="4"/>
        <v>12.531818181818183</v>
      </c>
      <c r="T7" s="22">
        <v>1.64</v>
      </c>
      <c r="U7" s="19">
        <v>1.8380000000000001</v>
      </c>
      <c r="V7" s="20">
        <f>IF(Y7=1,$G$26*W7/100,V6+$G$26*W7/100)</f>
        <v>44.72727272727272</v>
      </c>
      <c r="W7" s="18">
        <f t="shared" si="5"/>
        <v>1.4909090909090907</v>
      </c>
      <c r="X7" s="21">
        <f t="shared" si="6"/>
        <v>-11.27272727272728</v>
      </c>
      <c r="Y7" s="19">
        <v>5</v>
      </c>
      <c r="Z7" s="18">
        <f t="shared" si="0"/>
        <v>1.6709090909090909</v>
      </c>
      <c r="AA7" s="20">
        <f>$G$26*Z7/100</f>
        <v>12.531818181818183</v>
      </c>
      <c r="AB7" s="22">
        <f t="shared" si="7"/>
        <v>48.027717251964688</v>
      </c>
      <c r="AC7" s="22">
        <f t="shared" si="8"/>
        <v>62.599415227233074</v>
      </c>
      <c r="AD7" s="22">
        <f t="shared" si="9"/>
        <v>33.456019276696303</v>
      </c>
      <c r="AE7" s="22">
        <f>SQRT(AA7*AA7+X7*X7)</f>
        <v>16.855884643276312</v>
      </c>
    </row>
    <row r="8" spans="15:31" x14ac:dyDescent="0.25">
      <c r="O8" s="234">
        <v>0</v>
      </c>
      <c r="P8" s="256">
        <f t="shared" si="1"/>
        <v>-3.5</v>
      </c>
      <c r="Q8" s="257">
        <f t="shared" si="2"/>
        <v>13.2</v>
      </c>
      <c r="R8" s="210">
        <f t="shared" si="3"/>
        <v>-9.0909090909100612E-2</v>
      </c>
      <c r="S8" s="173">
        <f t="shared" si="4"/>
        <v>13.636363636363635</v>
      </c>
      <c r="T8" s="22">
        <v>1.64</v>
      </c>
      <c r="U8" s="19">
        <v>2</v>
      </c>
      <c r="V8" s="20">
        <f>IF(Y8=1,$G$26*W8/100,V7+$G$26*W8/100)</f>
        <v>55.909090909090899</v>
      </c>
      <c r="W8" s="18">
        <f t="shared" si="5"/>
        <v>1.4909090909090907</v>
      </c>
      <c r="X8" s="21">
        <f t="shared" si="6"/>
        <v>-9.0909090909100598E-2</v>
      </c>
      <c r="Y8" s="19">
        <v>6</v>
      </c>
      <c r="Z8" s="18">
        <f t="shared" si="0"/>
        <v>1.8181818181818181</v>
      </c>
      <c r="AA8" s="20">
        <f>$G$26*Z8/100</f>
        <v>13.636363636363635</v>
      </c>
      <c r="AB8" s="22">
        <f t="shared" si="7"/>
        <v>89.618033795270932</v>
      </c>
      <c r="AC8" s="22">
        <f t="shared" si="8"/>
        <v>104.18973177053931</v>
      </c>
      <c r="AD8" s="22">
        <f t="shared" si="9"/>
        <v>75.046335820002554</v>
      </c>
      <c r="AE8" s="22">
        <f>SQRT(AA8*AA8+X8*X8)</f>
        <v>13.636666663299737</v>
      </c>
    </row>
    <row r="9" spans="15:31" x14ac:dyDescent="0.25">
      <c r="O9" s="234">
        <v>0</v>
      </c>
      <c r="P9" s="256">
        <f t="shared" si="1"/>
        <v>7.2</v>
      </c>
      <c r="Q9" s="257">
        <f t="shared" si="2"/>
        <v>16.5</v>
      </c>
      <c r="R9" s="210">
        <f t="shared" si="3"/>
        <v>11.090909090909078</v>
      </c>
      <c r="S9" s="173">
        <f t="shared" si="4"/>
        <v>14.18181818181818</v>
      </c>
      <c r="T9" s="22">
        <v>1.64</v>
      </c>
      <c r="U9" s="19">
        <v>2.08</v>
      </c>
      <c r="V9" s="20">
        <f>IF(Y9=1,$G$26*W9/100,V8+$G$26*W9/100)</f>
        <v>67.090909090909079</v>
      </c>
      <c r="W9" s="18">
        <f t="shared" si="5"/>
        <v>1.4909090909090907</v>
      </c>
      <c r="X9" s="21">
        <f t="shared" si="6"/>
        <v>11.090909090909079</v>
      </c>
      <c r="Y9" s="19">
        <v>7</v>
      </c>
      <c r="Z9" s="18">
        <f t="shared" si="0"/>
        <v>1.8909090909090911</v>
      </c>
      <c r="AA9" s="20">
        <f>$G$26*Z9/100</f>
        <v>14.181818181818182</v>
      </c>
      <c r="AB9" s="22">
        <f t="shared" si="7"/>
        <v>51.972769286026491</v>
      </c>
      <c r="AC9" s="22">
        <f t="shared" si="8"/>
        <v>66.544467261294869</v>
      </c>
      <c r="AD9" s="22">
        <f t="shared" si="9"/>
        <v>37.401071310758105</v>
      </c>
      <c r="AE9" s="22">
        <f>SQRT(AA9*AA9+X9*X9)</f>
        <v>18.003672719891306</v>
      </c>
    </row>
    <row r="10" spans="15:31" x14ac:dyDescent="0.25">
      <c r="O10" s="234">
        <v>0</v>
      </c>
      <c r="P10" s="256">
        <f t="shared" si="1"/>
        <v>17.899999999999999</v>
      </c>
      <c r="Q10" s="257">
        <f t="shared" si="2"/>
        <v>19.600000000000001</v>
      </c>
      <c r="R10" s="210">
        <f t="shared" si="3"/>
        <v>22.272727272727252</v>
      </c>
      <c r="S10" s="173">
        <f t="shared" si="4"/>
        <v>14.413636363636364</v>
      </c>
      <c r="T10" s="22">
        <v>1.64</v>
      </c>
      <c r="U10" s="19">
        <v>2.1139999999999999</v>
      </c>
      <c r="V10" s="20">
        <f>IF(Y10=1,$G$26*W10/100,V9+$G$26*W10/100)</f>
        <v>78.272727272727252</v>
      </c>
      <c r="W10" s="18">
        <f t="shared" si="5"/>
        <v>1.4909090909090907</v>
      </c>
      <c r="X10" s="21">
        <f t="shared" si="6"/>
        <v>22.272727272727252</v>
      </c>
      <c r="Y10" s="19">
        <v>8</v>
      </c>
      <c r="Z10" s="18">
        <f t="shared" si="0"/>
        <v>1.9218181818181816</v>
      </c>
      <c r="AA10" s="20">
        <f>$G$26*Z10/100</f>
        <v>14.413636363636362</v>
      </c>
      <c r="AB10" s="22">
        <f t="shared" si="7"/>
        <v>32.908636619573016</v>
      </c>
      <c r="AC10" s="22">
        <f t="shared" si="8"/>
        <v>47.480334594841402</v>
      </c>
      <c r="AD10" s="22">
        <f t="shared" si="9"/>
        <v>18.336938644304631</v>
      </c>
      <c r="AE10" s="22">
        <f>SQRT(AA10*AA10+X10*X10)</f>
        <v>26.529743560547825</v>
      </c>
    </row>
    <row r="11" spans="15:31" x14ac:dyDescent="0.25">
      <c r="O11" s="234">
        <v>0</v>
      </c>
      <c r="P11" s="256">
        <f t="shared" si="1"/>
        <v>28.9</v>
      </c>
      <c r="Q11" s="257">
        <f t="shared" si="2"/>
        <v>21.9</v>
      </c>
      <c r="R11" s="210">
        <f t="shared" si="3"/>
        <v>33.454545454545439</v>
      </c>
      <c r="S11" s="173">
        <f t="shared" si="4"/>
        <v>13.95</v>
      </c>
      <c r="T11" s="22">
        <v>1.64</v>
      </c>
      <c r="U11" s="19">
        <v>2.0459999999999998</v>
      </c>
      <c r="V11" s="20">
        <f>IF(Y11=1,$G$26*W11/100,V10+$G$26*W11/100)</f>
        <v>89.454545454545439</v>
      </c>
      <c r="W11" s="18">
        <f t="shared" si="5"/>
        <v>1.4909090909090907</v>
      </c>
      <c r="X11" s="21">
        <f t="shared" si="6"/>
        <v>33.454545454545439</v>
      </c>
      <c r="Y11" s="19">
        <v>9</v>
      </c>
      <c r="Z11" s="18">
        <f t="shared" si="0"/>
        <v>1.8599999999999999</v>
      </c>
      <c r="AA11" s="20">
        <f>$G$26*Z11/100</f>
        <v>13.95</v>
      </c>
      <c r="AB11" s="22">
        <f t="shared" si="7"/>
        <v>22.635340583861137</v>
      </c>
      <c r="AC11" s="22">
        <f t="shared" si="8"/>
        <v>37.207038559129522</v>
      </c>
      <c r="AD11" s="22">
        <f t="shared" si="9"/>
        <v>8.0636426085927511</v>
      </c>
      <c r="AE11" s="22">
        <f>SQRT(AA11*AA11+X11*X11)</f>
        <v>36.246504818675234</v>
      </c>
    </row>
    <row r="12" spans="15:31" x14ac:dyDescent="0.25">
      <c r="O12" s="234">
        <v>0</v>
      </c>
      <c r="P12" s="256">
        <f t="shared" si="1"/>
        <v>40.299999999999997</v>
      </c>
      <c r="Q12" s="257">
        <f t="shared" si="2"/>
        <v>22.4</v>
      </c>
      <c r="R12" s="210">
        <f t="shared" si="3"/>
        <v>44.636363636363619</v>
      </c>
      <c r="S12" s="173">
        <f t="shared" si="4"/>
        <v>11.52272727272727</v>
      </c>
      <c r="T12" s="22">
        <v>1.64</v>
      </c>
      <c r="U12" s="19">
        <v>1.69</v>
      </c>
      <c r="V12" s="20">
        <f>IF(Y12=1,$G$26*W12/100,V11+$G$26*W12/100)</f>
        <v>100.63636363636363</v>
      </c>
      <c r="W12" s="18">
        <f t="shared" si="5"/>
        <v>1.4909090909090907</v>
      </c>
      <c r="X12" s="21">
        <f t="shared" si="6"/>
        <v>44.636363636363626</v>
      </c>
      <c r="Y12" s="19">
        <v>10</v>
      </c>
      <c r="Z12" s="18">
        <f t="shared" si="0"/>
        <v>1.5363636363636362</v>
      </c>
      <c r="AA12" s="20">
        <f>$G$26*Z12/100</f>
        <v>11.52272727272727</v>
      </c>
      <c r="AB12" s="22">
        <f t="shared" si="7"/>
        <v>14.474705539810259</v>
      </c>
      <c r="AC12" s="22">
        <f t="shared" si="8"/>
        <v>29.046403515078644</v>
      </c>
      <c r="AD12" s="22">
        <f t="shared" si="9"/>
        <v>-9.6992435458126636E-2</v>
      </c>
      <c r="AE12" s="22">
        <f t="shared" ref="AE12:AE25" si="10">SQRT(AA12*AA12+X12*X12)</f>
        <v>46.099655123214724</v>
      </c>
    </row>
    <row r="13" spans="15:31" x14ac:dyDescent="0.25">
      <c r="O13" s="234">
        <v>0</v>
      </c>
      <c r="P13" s="256">
        <f t="shared" si="1"/>
        <v>46.4</v>
      </c>
      <c r="Q13" s="257">
        <f t="shared" si="2"/>
        <v>21.1</v>
      </c>
      <c r="R13" s="210">
        <f t="shared" si="3"/>
        <v>50.22727272727272</v>
      </c>
      <c r="S13" s="173">
        <f t="shared" si="4"/>
        <v>8.7136363636363612</v>
      </c>
      <c r="T13" s="18">
        <v>0.82</v>
      </c>
      <c r="U13" s="19">
        <v>1.278</v>
      </c>
      <c r="V13" s="20">
        <f>IF(Y13=1,$G$26*W13/100,V12+$G$26*W13/100)</f>
        <v>106.22727272727272</v>
      </c>
      <c r="W13" s="18">
        <f t="shared" si="5"/>
        <v>0.74545454545454537</v>
      </c>
      <c r="X13" s="21">
        <f t="shared" si="6"/>
        <v>50.22727272727272</v>
      </c>
      <c r="Y13" s="19">
        <v>11</v>
      </c>
      <c r="Z13" s="18">
        <f t="shared" si="0"/>
        <v>1.1618181818181819</v>
      </c>
      <c r="AA13" s="21">
        <f>$G$26*Z13/100</f>
        <v>8.713636363636363</v>
      </c>
      <c r="AB13" s="22">
        <f t="shared" si="7"/>
        <v>9.8419535808017393</v>
      </c>
      <c r="AC13" s="22">
        <f t="shared" si="8"/>
        <v>24.413651556070125</v>
      </c>
      <c r="AD13" s="22">
        <f t="shared" si="9"/>
        <v>-4.7297443944666462</v>
      </c>
      <c r="AE13" s="22">
        <f t="shared" si="10"/>
        <v>50.977508612107748</v>
      </c>
    </row>
    <row r="14" spans="15:31" ht="15.75" x14ac:dyDescent="0.25">
      <c r="O14" s="234">
        <v>0</v>
      </c>
      <c r="P14" s="258">
        <f>P36</f>
        <v>53.10254205371249</v>
      </c>
      <c r="Q14" s="259">
        <f>Q36</f>
        <v>18.305788486244406</v>
      </c>
      <c r="R14" s="210">
        <f t="shared" si="3"/>
        <v>56</v>
      </c>
      <c r="S14" s="173">
        <f t="shared" si="4"/>
        <v>4.3568181818181824</v>
      </c>
      <c r="T14" s="23"/>
      <c r="U14" s="24">
        <v>0.222</v>
      </c>
      <c r="V14" s="25">
        <f>G25</f>
        <v>112</v>
      </c>
      <c r="W14" s="18">
        <f t="shared" si="5"/>
        <v>0</v>
      </c>
      <c r="X14" s="21">
        <f t="shared" si="6"/>
        <v>56</v>
      </c>
      <c r="Y14" s="26">
        <v>12</v>
      </c>
      <c r="Z14" s="18">
        <f>U14*$G$22/16.5</f>
        <v>0.20181818181818181</v>
      </c>
      <c r="AA14" s="240">
        <f>AA13-(AA13-AA15)/2</f>
        <v>4.3568181818181815</v>
      </c>
      <c r="AB14" s="22">
        <f t="shared" si="7"/>
        <v>4.448668922066199</v>
      </c>
      <c r="AC14" s="22">
        <f t="shared" si="8"/>
        <v>19.020366897334583</v>
      </c>
      <c r="AD14" s="22">
        <f t="shared" si="9"/>
        <v>-10.123029053202186</v>
      </c>
      <c r="AE14" s="22">
        <f t="shared" si="10"/>
        <v>56.169225245408377</v>
      </c>
    </row>
    <row r="15" spans="15:31" x14ac:dyDescent="0.25">
      <c r="O15" s="234">
        <v>1</v>
      </c>
      <c r="P15" s="260">
        <f t="shared" si="1"/>
        <v>48.8</v>
      </c>
      <c r="Q15" s="261">
        <f t="shared" si="2"/>
        <v>13.7</v>
      </c>
      <c r="R15" s="210">
        <f t="shared" si="3"/>
        <v>50.409090909090907</v>
      </c>
      <c r="S15" s="173">
        <f t="shared" si="4"/>
        <v>0</v>
      </c>
      <c r="T15" s="27">
        <v>0.82</v>
      </c>
      <c r="U15" s="28">
        <v>0</v>
      </c>
      <c r="V15" s="29">
        <f>IF(Y15=11,$G$25-$G$26*W15/100,V14-$G$26*W15/100)</f>
        <v>106.40909090909091</v>
      </c>
      <c r="W15" s="18">
        <f t="shared" si="5"/>
        <v>0.74545454545454537</v>
      </c>
      <c r="X15" s="21">
        <f t="shared" si="6"/>
        <v>50.409090909090907</v>
      </c>
      <c r="Y15" s="28">
        <v>11</v>
      </c>
      <c r="Z15" s="18">
        <f t="shared" si="0"/>
        <v>0</v>
      </c>
      <c r="AA15" s="30">
        <f t="shared" ref="AA15:AA24" si="11">$G$26*Z15/100</f>
        <v>0</v>
      </c>
      <c r="AB15" s="22">
        <f t="shared" si="7"/>
        <v>0</v>
      </c>
      <c r="AC15" s="22">
        <f t="shared" si="8"/>
        <v>14.571697975268386</v>
      </c>
      <c r="AD15" s="22">
        <f t="shared" si="9"/>
        <v>-14.571697975268386</v>
      </c>
      <c r="AE15" s="22">
        <f t="shared" si="10"/>
        <v>50.409090909090907</v>
      </c>
    </row>
    <row r="16" spans="15:31" x14ac:dyDescent="0.25">
      <c r="O16" s="234">
        <v>0</v>
      </c>
      <c r="P16" s="260">
        <f t="shared" si="1"/>
        <v>43.4</v>
      </c>
      <c r="Q16" s="261">
        <f t="shared" si="2"/>
        <v>11.3</v>
      </c>
      <c r="R16" s="210">
        <f t="shared" si="3"/>
        <v>44.818181818181813</v>
      </c>
      <c r="S16" s="173">
        <f t="shared" si="4"/>
        <v>0</v>
      </c>
      <c r="T16" s="27">
        <v>0.82</v>
      </c>
      <c r="U16" s="28">
        <v>0</v>
      </c>
      <c r="V16" s="29">
        <f>IF(Y16=11,$G$25-$G$26*W16/100,V15-$G$26*W16/100)</f>
        <v>100.81818181818181</v>
      </c>
      <c r="W16" s="18">
        <f t="shared" si="5"/>
        <v>0.74545454545454537</v>
      </c>
      <c r="X16" s="21">
        <f t="shared" si="6"/>
        <v>44.818181818181813</v>
      </c>
      <c r="Y16" s="28">
        <v>10</v>
      </c>
      <c r="Z16" s="18">
        <f t="shared" si="0"/>
        <v>0</v>
      </c>
      <c r="AA16" s="29">
        <f t="shared" si="11"/>
        <v>0</v>
      </c>
      <c r="AB16" s="22">
        <f t="shared" si="7"/>
        <v>0</v>
      </c>
      <c r="AC16" s="22">
        <f t="shared" si="8"/>
        <v>14.571697975268386</v>
      </c>
      <c r="AD16" s="22">
        <f t="shared" si="9"/>
        <v>-14.571697975268386</v>
      </c>
      <c r="AE16" s="22">
        <f t="shared" si="10"/>
        <v>44.818181818181813</v>
      </c>
    </row>
    <row r="17" spans="2:32" x14ac:dyDescent="0.25">
      <c r="O17" s="234">
        <v>0</v>
      </c>
      <c r="P17" s="260">
        <f t="shared" si="1"/>
        <v>32.6</v>
      </c>
      <c r="Q17" s="261">
        <f t="shared" si="2"/>
        <v>8.5</v>
      </c>
      <c r="R17" s="210">
        <f t="shared" si="3"/>
        <v>33.636363636363626</v>
      </c>
      <c r="S17" s="173">
        <f t="shared" si="4"/>
        <v>0</v>
      </c>
      <c r="T17" s="28">
        <v>1.64</v>
      </c>
      <c r="U17" s="28">
        <v>0</v>
      </c>
      <c r="V17" s="29">
        <f>IF(Y17=11,$G$25-$G$26*W17/100,V16-$G$26*W17/100)</f>
        <v>89.636363636363626</v>
      </c>
      <c r="W17" s="18">
        <f t="shared" si="5"/>
        <v>1.4909090909090907</v>
      </c>
      <c r="X17" s="21">
        <f t="shared" si="6"/>
        <v>33.636363636363626</v>
      </c>
      <c r="Y17" s="28">
        <v>9</v>
      </c>
      <c r="Z17" s="18">
        <f t="shared" si="0"/>
        <v>0</v>
      </c>
      <c r="AA17" s="29">
        <f t="shared" si="11"/>
        <v>0</v>
      </c>
      <c r="AB17" s="22">
        <f t="shared" si="7"/>
        <v>0</v>
      </c>
      <c r="AC17" s="22">
        <f t="shared" si="8"/>
        <v>14.571697975268386</v>
      </c>
      <c r="AD17" s="22">
        <f t="shared" si="9"/>
        <v>-14.571697975268386</v>
      </c>
      <c r="AE17" s="22">
        <f t="shared" si="10"/>
        <v>33.636363636363626</v>
      </c>
    </row>
    <row r="18" spans="2:32" x14ac:dyDescent="0.25">
      <c r="O18" s="234">
        <v>0</v>
      </c>
      <c r="P18" s="260">
        <f t="shared" si="1"/>
        <v>21.7</v>
      </c>
      <c r="Q18" s="261">
        <f t="shared" si="2"/>
        <v>5.6</v>
      </c>
      <c r="R18" s="210">
        <f t="shared" si="3"/>
        <v>22.454545454545439</v>
      </c>
      <c r="S18" s="173">
        <f t="shared" si="4"/>
        <v>0</v>
      </c>
      <c r="T18" s="28">
        <v>1.64</v>
      </c>
      <c r="U18" s="28">
        <v>0</v>
      </c>
      <c r="V18" s="29">
        <f>IF(Y18=11,$G$25-$G$26*W18/100,V17-$G$26*W18/100)</f>
        <v>78.454545454545439</v>
      </c>
      <c r="W18" s="18">
        <f t="shared" si="5"/>
        <v>1.4909090909090907</v>
      </c>
      <c r="X18" s="21">
        <f t="shared" si="6"/>
        <v>22.454545454545439</v>
      </c>
      <c r="Y18" s="28">
        <v>8</v>
      </c>
      <c r="Z18" s="18">
        <f t="shared" si="0"/>
        <v>0</v>
      </c>
      <c r="AA18" s="29">
        <f t="shared" si="11"/>
        <v>0</v>
      </c>
      <c r="AB18" s="22">
        <f t="shared" si="7"/>
        <v>0</v>
      </c>
      <c r="AC18" s="22">
        <f t="shared" si="8"/>
        <v>14.571697975268386</v>
      </c>
      <c r="AD18" s="22">
        <f t="shared" si="9"/>
        <v>-14.571697975268386</v>
      </c>
      <c r="AE18" s="22">
        <f t="shared" si="10"/>
        <v>22.454545454545439</v>
      </c>
    </row>
    <row r="19" spans="2:32" x14ac:dyDescent="0.25">
      <c r="O19" s="234">
        <v>0</v>
      </c>
      <c r="P19" s="260">
        <f t="shared" si="1"/>
        <v>10.9</v>
      </c>
      <c r="Q19" s="261">
        <f t="shared" si="2"/>
        <v>2.8</v>
      </c>
      <c r="R19" s="210">
        <f t="shared" si="3"/>
        <v>11.272727272727252</v>
      </c>
      <c r="S19" s="173">
        <f t="shared" si="4"/>
        <v>0</v>
      </c>
      <c r="T19" s="28">
        <v>1.64</v>
      </c>
      <c r="U19" s="28">
        <v>0</v>
      </c>
      <c r="V19" s="29">
        <f>IF(Y19=11,$G$25-$G$26*W19/100,V18-$G$26*W19/100)</f>
        <v>67.272727272727252</v>
      </c>
      <c r="W19" s="18">
        <f t="shared" si="5"/>
        <v>1.4909090909090907</v>
      </c>
      <c r="X19" s="21">
        <f t="shared" si="6"/>
        <v>11.272727272727252</v>
      </c>
      <c r="Y19" s="28">
        <v>7</v>
      </c>
      <c r="Z19" s="18">
        <f t="shared" si="0"/>
        <v>0</v>
      </c>
      <c r="AA19" s="29">
        <f t="shared" si="11"/>
        <v>0</v>
      </c>
      <c r="AB19" s="22">
        <f t="shared" si="7"/>
        <v>0</v>
      </c>
      <c r="AC19" s="22">
        <f t="shared" si="8"/>
        <v>14.571697975268386</v>
      </c>
      <c r="AD19" s="22">
        <f t="shared" si="9"/>
        <v>-14.571697975268386</v>
      </c>
      <c r="AE19" s="22">
        <f t="shared" si="10"/>
        <v>11.272727272727252</v>
      </c>
    </row>
    <row r="20" spans="2:32" x14ac:dyDescent="0.25">
      <c r="O20" s="234">
        <v>0</v>
      </c>
      <c r="P20" s="260">
        <f t="shared" si="1"/>
        <v>0.1</v>
      </c>
      <c r="Q20" s="261">
        <f t="shared" si="2"/>
        <v>0</v>
      </c>
      <c r="R20" s="210">
        <f t="shared" si="3"/>
        <v>9.0909090909072177E-2</v>
      </c>
      <c r="S20" s="173">
        <f t="shared" si="4"/>
        <v>0</v>
      </c>
      <c r="T20" s="28">
        <v>1.64</v>
      </c>
      <c r="U20" s="28">
        <v>0</v>
      </c>
      <c r="V20" s="29">
        <f>IF(Y20=11,$G$25-$G$26*W20/100,V19-$G$26*W20/100)</f>
        <v>56.090909090909072</v>
      </c>
      <c r="W20" s="18">
        <f t="shared" si="5"/>
        <v>1.4909090909090907</v>
      </c>
      <c r="X20" s="21">
        <f t="shared" si="6"/>
        <v>9.0909090909072177E-2</v>
      </c>
      <c r="Y20" s="28">
        <v>6</v>
      </c>
      <c r="Z20" s="18">
        <f t="shared" si="0"/>
        <v>0</v>
      </c>
      <c r="AA20" s="29">
        <f t="shared" si="11"/>
        <v>0</v>
      </c>
      <c r="AB20" s="22">
        <f t="shared" si="7"/>
        <v>0</v>
      </c>
      <c r="AC20" s="22">
        <f t="shared" si="8"/>
        <v>14.571697975268386</v>
      </c>
      <c r="AD20" s="22">
        <f t="shared" si="9"/>
        <v>-14.571697975268386</v>
      </c>
      <c r="AE20" s="22">
        <f t="shared" si="10"/>
        <v>9.0909090909072177E-2</v>
      </c>
    </row>
    <row r="21" spans="2:32" x14ac:dyDescent="0.25">
      <c r="O21" s="234">
        <v>0</v>
      </c>
      <c r="P21" s="260">
        <f t="shared" si="1"/>
        <v>-10.7</v>
      </c>
      <c r="Q21" s="261">
        <f t="shared" si="2"/>
        <v>-2.8</v>
      </c>
      <c r="R21" s="210">
        <f t="shared" si="3"/>
        <v>-11.090909090909108</v>
      </c>
      <c r="S21" s="173">
        <f t="shared" si="4"/>
        <v>0</v>
      </c>
      <c r="T21" s="28">
        <v>1.64</v>
      </c>
      <c r="U21" s="28">
        <v>0</v>
      </c>
      <c r="V21" s="29">
        <f>IF(Y21=11,$G$25-$G$26*W21/100,V20-$G$26*W21/100)</f>
        <v>44.909090909090892</v>
      </c>
      <c r="W21" s="18">
        <f t="shared" si="5"/>
        <v>1.4909090909090907</v>
      </c>
      <c r="X21" s="21">
        <f t="shared" si="6"/>
        <v>-11.090909090909108</v>
      </c>
      <c r="Y21" s="28">
        <v>5</v>
      </c>
      <c r="Z21" s="18">
        <f t="shared" si="0"/>
        <v>0</v>
      </c>
      <c r="AA21" s="29">
        <f t="shared" si="11"/>
        <v>0</v>
      </c>
      <c r="AB21" s="22">
        <f t="shared" si="7"/>
        <v>0</v>
      </c>
      <c r="AC21" s="22">
        <f t="shared" si="8"/>
        <v>14.571697975268386</v>
      </c>
      <c r="AD21" s="22">
        <f t="shared" si="9"/>
        <v>-14.571697975268386</v>
      </c>
      <c r="AE21" s="22">
        <f t="shared" si="10"/>
        <v>11.090909090909108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-21.6</v>
      </c>
      <c r="Q22" s="261">
        <f t="shared" si="2"/>
        <v>-5.6</v>
      </c>
      <c r="R22" s="210">
        <f t="shared" si="3"/>
        <v>-22.272727272727288</v>
      </c>
      <c r="S22" s="173">
        <f t="shared" si="4"/>
        <v>0</v>
      </c>
      <c r="T22" s="28">
        <v>1.64</v>
      </c>
      <c r="U22" s="28">
        <v>0</v>
      </c>
      <c r="V22" s="29">
        <f>IF(Y22=11,$G$25-$G$26*W22/100,V21-$G$26*W22/100)</f>
        <v>33.727272727272712</v>
      </c>
      <c r="W22" s="18">
        <f t="shared" si="5"/>
        <v>1.4909090909090907</v>
      </c>
      <c r="X22" s="21">
        <f t="shared" si="6"/>
        <v>-22.272727272727288</v>
      </c>
      <c r="Y22" s="28">
        <v>4</v>
      </c>
      <c r="Z22" s="18">
        <f t="shared" si="0"/>
        <v>0</v>
      </c>
      <c r="AA22" s="29">
        <f t="shared" si="11"/>
        <v>0</v>
      </c>
      <c r="AB22" s="22">
        <f t="shared" si="7"/>
        <v>0</v>
      </c>
      <c r="AC22" s="22">
        <f t="shared" si="8"/>
        <v>14.571697975268386</v>
      </c>
      <c r="AD22" s="22">
        <f t="shared" si="9"/>
        <v>-14.571697975268386</v>
      </c>
      <c r="AE22" s="22">
        <f t="shared" si="10"/>
        <v>22.272727272727288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67">
        <f>B25</f>
        <v>0.6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-32.4</v>
      </c>
      <c r="Q23" s="261">
        <f t="shared" si="2"/>
        <v>-8.4</v>
      </c>
      <c r="R23" s="210">
        <f t="shared" si="3"/>
        <v>-33.454545454545467</v>
      </c>
      <c r="S23" s="173">
        <f t="shared" si="4"/>
        <v>0</v>
      </c>
      <c r="T23" s="28">
        <v>1.64</v>
      </c>
      <c r="U23" s="28">
        <v>0</v>
      </c>
      <c r="V23" s="29">
        <f>IF(Y23=11,$G$25-$G$26*W23/100,V22-$G$26*W23/100)</f>
        <v>22.545454545454533</v>
      </c>
      <c r="W23" s="18">
        <f t="shared" si="5"/>
        <v>1.4909090909090907</v>
      </c>
      <c r="X23" s="21">
        <f t="shared" si="6"/>
        <v>-33.454545454545467</v>
      </c>
      <c r="Y23" s="28">
        <v>3</v>
      </c>
      <c r="Z23" s="18">
        <f t="shared" si="0"/>
        <v>0</v>
      </c>
      <c r="AA23" s="29">
        <f t="shared" si="11"/>
        <v>0</v>
      </c>
      <c r="AB23" s="22">
        <f t="shared" si="7"/>
        <v>0</v>
      </c>
      <c r="AC23" s="22">
        <f t="shared" si="8"/>
        <v>14.571697975268386</v>
      </c>
      <c r="AD23" s="22">
        <f t="shared" si="9"/>
        <v>-14.571697975268386</v>
      </c>
      <c r="AE23" s="22">
        <f t="shared" si="10"/>
        <v>33.454545454545467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D25+I24</f>
        <v>14.571697975268386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-43.2</v>
      </c>
      <c r="Q24" s="261">
        <f t="shared" si="2"/>
        <v>-11.2</v>
      </c>
      <c r="R24" s="210">
        <f t="shared" si="3"/>
        <v>-44.636363636363647</v>
      </c>
      <c r="S24" s="173">
        <f t="shared" si="4"/>
        <v>0</v>
      </c>
      <c r="T24" s="28">
        <v>1.64</v>
      </c>
      <c r="U24" s="28">
        <v>0</v>
      </c>
      <c r="V24" s="29">
        <f>IF(Y24=11,$G$25-$G$26*W24/100,V23-$G$26*W24/100)</f>
        <v>11.363636363636353</v>
      </c>
      <c r="W24" s="18">
        <f t="shared" si="5"/>
        <v>1.4909090909090907</v>
      </c>
      <c r="X24" s="21">
        <f t="shared" si="6"/>
        <v>-44.636363636363647</v>
      </c>
      <c r="Y24" s="28">
        <v>2</v>
      </c>
      <c r="Z24" s="18">
        <f t="shared" si="0"/>
        <v>0</v>
      </c>
      <c r="AA24" s="29">
        <f t="shared" si="11"/>
        <v>0</v>
      </c>
      <c r="AB24" s="22">
        <f t="shared" si="7"/>
        <v>0</v>
      </c>
      <c r="AC24" s="22">
        <f t="shared" si="8"/>
        <v>14.571697975268386</v>
      </c>
      <c r="AD24" s="22">
        <f t="shared" si="9"/>
        <v>-14.571697975268386</v>
      </c>
      <c r="AE24" s="22">
        <f t="shared" si="10"/>
        <v>44.636363636363647</v>
      </c>
    </row>
    <row r="25" spans="2:32" ht="16.5" thickBot="1" x14ac:dyDescent="0.3">
      <c r="B25" s="157">
        <f>'Мощ-Диаметр-Ширина-Шаг-Угол'!T19</f>
        <v>0.6</v>
      </c>
      <c r="C25" s="158">
        <f>'Мощ-Диаметр-Ширина-Шаг-Угол'!U19</f>
        <v>450</v>
      </c>
      <c r="D25" s="158">
        <f>'Мощ-Диаметр-Ширина-Шаг-Угол'!V19</f>
        <v>14.571697975268386</v>
      </c>
      <c r="F25" s="155" t="s">
        <v>23</v>
      </c>
      <c r="G25" s="156">
        <f>ROUND((G26*G27/100)*(G22/16.5),0)</f>
        <v>112</v>
      </c>
      <c r="O25" s="234">
        <v>0</v>
      </c>
      <c r="P25" s="262">
        <f>P49</f>
        <v>-54.859106867573153</v>
      </c>
      <c r="Q25" s="263">
        <f>Q49</f>
        <v>-11.548550501781104</v>
      </c>
      <c r="R25" s="210">
        <f t="shared" si="3"/>
        <v>-56</v>
      </c>
      <c r="S25" s="173">
        <f t="shared" si="4"/>
        <v>2.625</v>
      </c>
      <c r="T25" s="23"/>
      <c r="U25" s="24">
        <v>0.16400000000000001</v>
      </c>
      <c r="V25" s="25">
        <v>0</v>
      </c>
      <c r="W25" s="23"/>
      <c r="X25" s="21">
        <f t="shared" si="6"/>
        <v>-56</v>
      </c>
      <c r="Y25" s="26">
        <v>1</v>
      </c>
      <c r="Z25" s="18">
        <f t="shared" si="0"/>
        <v>0.14909090909090908</v>
      </c>
      <c r="AA25" s="25">
        <f>AA4-(-AA24+AA4)/2</f>
        <v>2.625</v>
      </c>
      <c r="AB25" s="22">
        <f>DEGREES(ATAN(AA25/(ABS(X25))))</f>
        <v>2.6837751594689845</v>
      </c>
      <c r="AC25" s="22">
        <f t="shared" si="8"/>
        <v>17.255473134737372</v>
      </c>
      <c r="AD25" s="22">
        <f t="shared" si="9"/>
        <v>-11.887922815799401</v>
      </c>
      <c r="AE25" s="22">
        <f t="shared" si="10"/>
        <v>56.061489678744714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53.10254205371249</v>
      </c>
      <c r="Q26" s="237">
        <f>Q36</f>
        <v>18.305788486244406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153">
        <v>16.399999999999999</v>
      </c>
      <c r="O27" s="235"/>
      <c r="P27" s="237">
        <f>P49</f>
        <v>-54.859106867573153</v>
      </c>
      <c r="Q27" s="237">
        <f>Q49</f>
        <v>-11.548550501781104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53.10254205371249</v>
      </c>
      <c r="Q36" s="236">
        <f t="shared" ref="Q36:Q53" si="13">IF(R36&lt;0,AE36*SIN(RADIANS(AD36)),AE36*SIN(RADIANS($AC36)))+O36</f>
        <v>18.305788486244406</v>
      </c>
      <c r="R36" s="224">
        <f t="shared" si="3"/>
        <v>56</v>
      </c>
      <c r="S36" s="225">
        <f t="shared" si="4"/>
        <v>4.3568181818181833</v>
      </c>
      <c r="T36" s="202"/>
      <c r="U36" s="202"/>
      <c r="V36" s="202"/>
      <c r="W36" s="202"/>
      <c r="X36" s="203">
        <f>$AG$36*COS(RADIANS($AF36))+$R$14-$AG$36</f>
        <v>56</v>
      </c>
      <c r="Y36" s="204"/>
      <c r="Z36" s="204"/>
      <c r="AA36" s="203">
        <f>$S$14+($AG$36*SIN(RADIANS($AF36)))</f>
        <v>4.3568181818181824</v>
      </c>
      <c r="AB36" s="205">
        <f t="shared" ref="AB36:AB53" si="14">DEGREES(ATAN(AA36/(ABS(X36))))</f>
        <v>4.4486689220661999</v>
      </c>
      <c r="AC36" s="205">
        <f t="shared" ref="AC36:AC53" si="15">DEGREES(ATAN(AA36/(ABS(X36))))+$G$24</f>
        <v>19.020366897334586</v>
      </c>
      <c r="AD36" s="205">
        <f t="shared" ref="AD36:AD53" si="16">DEGREES(ATAN(AA36/(ABS(X36))))-$G$24</f>
        <v>-10.123029053202185</v>
      </c>
      <c r="AE36" s="205">
        <f t="shared" ref="AE36:AE53" si="17">SQRT(AA36*AA36+X36*X36)</f>
        <v>56.169225245408377</v>
      </c>
      <c r="AF36" s="206">
        <v>0</v>
      </c>
      <c r="AG36" s="207">
        <f>ROUND($Z$14*$G$26/100,1)</f>
        <v>1.5</v>
      </c>
      <c r="AI36" s="201"/>
    </row>
    <row r="37" spans="15:35" ht="18" customHeight="1" x14ac:dyDescent="0.25">
      <c r="O37" s="232"/>
      <c r="P37" s="236">
        <f t="shared" si="12"/>
        <v>52.410481334467221</v>
      </c>
      <c r="Q37" s="236">
        <f t="shared" si="13"/>
        <v>19.221796917176267</v>
      </c>
      <c r="R37" s="226">
        <f t="shared" si="3"/>
        <v>55.560660171779823</v>
      </c>
      <c r="S37" s="227">
        <f t="shared" si="4"/>
        <v>5.4174783535980024</v>
      </c>
      <c r="T37" s="3"/>
      <c r="U37" s="3"/>
      <c r="V37" s="3"/>
      <c r="W37" s="3"/>
      <c r="X37" s="208">
        <f>$AG$36*COS(RADIANS($AF37))+$R$14-$AG$36</f>
        <v>55.560660171779823</v>
      </c>
      <c r="Y37" s="209"/>
      <c r="Z37" s="209"/>
      <c r="AA37" s="208">
        <f>$S$14+($AG$36*SIN(RADIANS($AF37)))</f>
        <v>5.4174783535980033</v>
      </c>
      <c r="AB37" s="210">
        <f t="shared" si="14"/>
        <v>5.5690578211672497</v>
      </c>
      <c r="AC37" s="210">
        <f t="shared" si="15"/>
        <v>20.140755796435634</v>
      </c>
      <c r="AD37" s="210">
        <f t="shared" si="16"/>
        <v>-9.0026401541011367</v>
      </c>
      <c r="AE37" s="210">
        <f t="shared" si="17"/>
        <v>55.824152751615529</v>
      </c>
      <c r="AF37" s="211">
        <v>45</v>
      </c>
      <c r="AG37" s="212" t="str">
        <f>CONCATENATE("r1=",$AG$36)</f>
        <v>r1=1,5</v>
      </c>
      <c r="AH37" s="201"/>
      <c r="AI37" s="201"/>
    </row>
    <row r="38" spans="15:35" ht="18" customHeight="1" x14ac:dyDescent="0.25">
      <c r="O38" s="232"/>
      <c r="P38" s="236">
        <f t="shared" si="12"/>
        <v>51.273404733760081</v>
      </c>
      <c r="Q38" s="236">
        <f>IF(R38&lt;0,AE38*SIN(RADIANS(AD38)),AE38*SIN(RADIANS($AC38)))+O38</f>
        <v>19.380151862741062</v>
      </c>
      <c r="R38" s="226">
        <f t="shared" si="3"/>
        <v>54.500000000000007</v>
      </c>
      <c r="S38" s="227">
        <f t="shared" si="4"/>
        <v>5.8568181818181833</v>
      </c>
      <c r="T38" s="3"/>
      <c r="U38" s="3"/>
      <c r="V38" s="3"/>
      <c r="W38" s="3"/>
      <c r="X38" s="208">
        <f>$AG$36*COS(RADIANS($AF38))+$R$14-$AG$36</f>
        <v>54.5</v>
      </c>
      <c r="Y38" s="209"/>
      <c r="Z38" s="209"/>
      <c r="AA38" s="208">
        <f>$S$14+($AG$36*SIN(RADIANS($AF38)))</f>
        <v>5.8568181818181824</v>
      </c>
      <c r="AB38" s="210">
        <f t="shared" si="14"/>
        <v>6.1337256163399134</v>
      </c>
      <c r="AC38" s="210">
        <f t="shared" si="15"/>
        <v>20.705423591608298</v>
      </c>
      <c r="AD38" s="210">
        <f t="shared" si="16"/>
        <v>-8.437972358928473</v>
      </c>
      <c r="AE38" s="210">
        <f t="shared" si="17"/>
        <v>54.813796796197913</v>
      </c>
      <c r="AF38" s="211">
        <v>90</v>
      </c>
      <c r="AG38" s="213"/>
    </row>
    <row r="39" spans="15:35" x14ac:dyDescent="0.25">
      <c r="O39" s="232"/>
      <c r="P39" s="236">
        <f t="shared" si="12"/>
        <v>50.357396302828214</v>
      </c>
      <c r="Q39" s="236">
        <f t="shared" si="13"/>
        <v>18.688091143495789</v>
      </c>
      <c r="R39" s="226">
        <f t="shared" si="3"/>
        <v>53.439339828220177</v>
      </c>
      <c r="S39" s="227">
        <f t="shared" si="4"/>
        <v>5.4174783535980024</v>
      </c>
      <c r="T39" s="3"/>
      <c r="U39" s="3"/>
      <c r="V39" s="3"/>
      <c r="W39" s="3"/>
      <c r="X39" s="208">
        <f>$AG$36*COS(RADIANS($AF39))+$R$14-$AG$36</f>
        <v>53.439339828220177</v>
      </c>
      <c r="Y39" s="209"/>
      <c r="Z39" s="209"/>
      <c r="AA39" s="208">
        <f>$S$14+($AG$36*SIN(RADIANS($AF39)))</f>
        <v>5.4174783535980033</v>
      </c>
      <c r="AB39" s="210">
        <f t="shared" si="14"/>
        <v>5.7886534291247527</v>
      </c>
      <c r="AC39" s="210">
        <f t="shared" si="15"/>
        <v>20.360351404393139</v>
      </c>
      <c r="AD39" s="210">
        <f t="shared" si="16"/>
        <v>-8.7830445461436319</v>
      </c>
      <c r="AE39" s="210">
        <f t="shared" si="17"/>
        <v>53.713239643384966</v>
      </c>
      <c r="AF39" s="211">
        <v>135</v>
      </c>
      <c r="AG39" s="213"/>
    </row>
    <row r="40" spans="15:35" x14ac:dyDescent="0.25">
      <c r="O40" s="232"/>
      <c r="P40" s="236">
        <f t="shared" si="12"/>
        <v>50.199041357263418</v>
      </c>
      <c r="Q40" s="236">
        <f t="shared" si="13"/>
        <v>17.55101454278865</v>
      </c>
      <c r="R40" s="226">
        <f t="shared" si="3"/>
        <v>53.000000000000007</v>
      </c>
      <c r="S40" s="227">
        <f t="shared" si="4"/>
        <v>4.3568181818181833</v>
      </c>
      <c r="T40" s="3"/>
      <c r="U40" s="3"/>
      <c r="V40" s="3"/>
      <c r="W40" s="3"/>
      <c r="X40" s="208">
        <f>$AG$36*COS(RADIANS($AF40))+$R$14-$AG$36</f>
        <v>53</v>
      </c>
      <c r="Y40" s="209"/>
      <c r="Z40" s="209"/>
      <c r="AA40" s="208">
        <f>$S$14+($AG$36*SIN(RADIANS($AF40)))</f>
        <v>4.3568181818181824</v>
      </c>
      <c r="AB40" s="210">
        <f t="shared" si="14"/>
        <v>4.6993825641210138</v>
      </c>
      <c r="AC40" s="210">
        <f t="shared" si="15"/>
        <v>19.271080539389398</v>
      </c>
      <c r="AD40" s="210">
        <f t="shared" si="16"/>
        <v>-9.8723154111473725</v>
      </c>
      <c r="AE40" s="210">
        <f t="shared" si="17"/>
        <v>53.178772688634155</v>
      </c>
      <c r="AF40" s="211">
        <v>180</v>
      </c>
      <c r="AG40" s="213"/>
    </row>
    <row r="41" spans="15:35" x14ac:dyDescent="0.25">
      <c r="O41" s="232"/>
      <c r="P41" s="236">
        <f t="shared" si="12"/>
        <v>50.891102076508687</v>
      </c>
      <c r="Q41" s="236">
        <f t="shared" si="13"/>
        <v>16.635006111856786</v>
      </c>
      <c r="R41" s="226">
        <f t="shared" si="3"/>
        <v>53.439339828220177</v>
      </c>
      <c r="S41" s="227">
        <f t="shared" si="4"/>
        <v>3.2961580100383614</v>
      </c>
      <c r="T41" s="3"/>
      <c r="U41" s="3"/>
      <c r="V41" s="3"/>
      <c r="W41" s="3"/>
      <c r="X41" s="208">
        <f>$AG$36*COS(RADIANS($AF41))+$R$14-$AG$36</f>
        <v>53.439339828220177</v>
      </c>
      <c r="Y41" s="209"/>
      <c r="Z41" s="209"/>
      <c r="AA41" s="208">
        <f>$S$14+($AG$36*SIN(RADIANS($AF41)))</f>
        <v>3.296158010038361</v>
      </c>
      <c r="AB41" s="210">
        <f t="shared" si="14"/>
        <v>3.5295531277803929</v>
      </c>
      <c r="AC41" s="210">
        <f t="shared" si="15"/>
        <v>18.101251103048778</v>
      </c>
      <c r="AD41" s="210">
        <f t="shared" si="16"/>
        <v>-11.042144847487993</v>
      </c>
      <c r="AE41" s="210">
        <f t="shared" si="17"/>
        <v>53.540897442078233</v>
      </c>
      <c r="AF41" s="211">
        <v>-135</v>
      </c>
      <c r="AG41" s="213"/>
    </row>
    <row r="42" spans="15:35" x14ac:dyDescent="0.25">
      <c r="O42" s="232"/>
      <c r="P42" s="236">
        <f t="shared" si="12"/>
        <v>52.028178677215827</v>
      </c>
      <c r="Q42" s="236">
        <f t="shared" si="13"/>
        <v>16.476651166291987</v>
      </c>
      <c r="R42" s="226">
        <f t="shared" si="3"/>
        <v>54.5</v>
      </c>
      <c r="S42" s="227">
        <f t="shared" si="4"/>
        <v>2.8568181818181824</v>
      </c>
      <c r="T42" s="3"/>
      <c r="U42" s="3"/>
      <c r="V42" s="3"/>
      <c r="W42" s="3"/>
      <c r="X42" s="208">
        <f>$AG$36*COS(RADIANS($AF42))+$R$14-$AG$36</f>
        <v>54.5</v>
      </c>
      <c r="Y42" s="209"/>
      <c r="Z42" s="209"/>
      <c r="AA42" s="208">
        <f>$S$14+($AG$36*SIN(RADIANS($AF42)))</f>
        <v>2.8568181818181824</v>
      </c>
      <c r="AB42" s="210">
        <f t="shared" si="14"/>
        <v>3.0006229817204835</v>
      </c>
      <c r="AC42" s="210">
        <f t="shared" si="15"/>
        <v>17.572320956988868</v>
      </c>
      <c r="AD42" s="210">
        <f t="shared" si="16"/>
        <v>-11.571074993547903</v>
      </c>
      <c r="AE42" s="210">
        <f t="shared" si="17"/>
        <v>54.574823958707981</v>
      </c>
      <c r="AF42" s="211">
        <v>-90</v>
      </c>
      <c r="AG42" s="213"/>
    </row>
    <row r="43" spans="15:35" x14ac:dyDescent="0.25">
      <c r="O43" s="232"/>
      <c r="P43" s="236">
        <f t="shared" si="12"/>
        <v>52.944187108147688</v>
      </c>
      <c r="Q43" s="236">
        <f t="shared" si="13"/>
        <v>17.168711885537263</v>
      </c>
      <c r="R43" s="226">
        <f t="shared" si="3"/>
        <v>55.560660171779816</v>
      </c>
      <c r="S43" s="227">
        <f t="shared" si="4"/>
        <v>3.2961580100383614</v>
      </c>
      <c r="T43" s="3"/>
      <c r="U43" s="3"/>
      <c r="V43" s="3"/>
      <c r="W43" s="3"/>
      <c r="X43" s="208">
        <f>$AG$36*COS(RADIANS($AF43))+$R$14-$AG$36</f>
        <v>55.560660171779823</v>
      </c>
      <c r="Y43" s="209"/>
      <c r="Z43" s="209"/>
      <c r="AA43" s="208">
        <f>$S$14+($AG$36*SIN(RADIANS($AF43)))</f>
        <v>3.2961580100383614</v>
      </c>
      <c r="AB43" s="210">
        <f t="shared" si="14"/>
        <v>3.3951153397948373</v>
      </c>
      <c r="AC43" s="210">
        <f t="shared" si="15"/>
        <v>17.966813315063224</v>
      </c>
      <c r="AD43" s="210">
        <f t="shared" si="16"/>
        <v>-11.176582635473547</v>
      </c>
      <c r="AE43" s="210">
        <f t="shared" si="17"/>
        <v>55.658347229783423</v>
      </c>
      <c r="AF43" s="211">
        <v>-45</v>
      </c>
      <c r="AG43" s="213"/>
    </row>
    <row r="44" spans="15:35" x14ac:dyDescent="0.25">
      <c r="O44" s="232"/>
      <c r="P44" s="236">
        <f t="shared" si="12"/>
        <v>53.10254205371249</v>
      </c>
      <c r="Q44" s="236">
        <f t="shared" si="13"/>
        <v>18.305788486244406</v>
      </c>
      <c r="R44" s="228">
        <f t="shared" si="3"/>
        <v>56</v>
      </c>
      <c r="S44" s="229">
        <f t="shared" si="4"/>
        <v>4.3568181818181833</v>
      </c>
      <c r="T44" s="214"/>
      <c r="U44" s="214"/>
      <c r="V44" s="214"/>
      <c r="W44" s="214"/>
      <c r="X44" s="215">
        <f>$AG$36*COS(RADIANS($AF44))+$R$14-$AG$36</f>
        <v>56</v>
      </c>
      <c r="Y44" s="216"/>
      <c r="Z44" s="216"/>
      <c r="AA44" s="215">
        <f>$S$14+($AG$36*SIN(RADIANS($AF44)))</f>
        <v>4.3568181818181824</v>
      </c>
      <c r="AB44" s="217">
        <f t="shared" si="14"/>
        <v>4.4486689220661999</v>
      </c>
      <c r="AC44" s="217">
        <f t="shared" si="15"/>
        <v>19.020366897334586</v>
      </c>
      <c r="AD44" s="217">
        <f t="shared" si="16"/>
        <v>-10.123029053202185</v>
      </c>
      <c r="AE44" s="217">
        <f t="shared" si="17"/>
        <v>56.169225245408377</v>
      </c>
      <c r="AF44" s="218">
        <v>0</v>
      </c>
      <c r="AG44" s="219"/>
    </row>
    <row r="45" spans="15:35" x14ac:dyDescent="0.25">
      <c r="O45" s="232"/>
      <c r="P45" s="236">
        <f t="shared" si="12"/>
        <v>-52.729873023510493</v>
      </c>
      <c r="Q45" s="236">
        <f t="shared" si="13"/>
        <v>-10.995049609913551</v>
      </c>
      <c r="R45" s="224">
        <f t="shared" si="3"/>
        <v>-53.8</v>
      </c>
      <c r="S45" s="225">
        <f t="shared" si="4"/>
        <v>2.625</v>
      </c>
      <c r="T45" s="202"/>
      <c r="U45" s="202"/>
      <c r="V45" s="202"/>
      <c r="W45" s="202"/>
      <c r="X45" s="203">
        <f>$AG$45*COS(RADIANS(AF45))+$R$25+$AG$45</f>
        <v>-53.8</v>
      </c>
      <c r="Y45" s="220"/>
      <c r="Z45" s="220"/>
      <c r="AA45" s="203">
        <f>$S$25+($AG$45*SIN(RADIANS($AF45)))</f>
        <v>2.625</v>
      </c>
      <c r="AB45" s="205">
        <f t="shared" si="14"/>
        <v>2.7933502002207646</v>
      </c>
      <c r="AC45" s="205">
        <f t="shared" si="15"/>
        <v>17.36504817548915</v>
      </c>
      <c r="AD45" s="205">
        <f t="shared" si="16"/>
        <v>-11.778347775047621</v>
      </c>
      <c r="AE45" s="205">
        <f t="shared" si="17"/>
        <v>53.864001197460254</v>
      </c>
      <c r="AF45" s="206">
        <v>0</v>
      </c>
      <c r="AG45" s="207">
        <f>ROUND($Z$25*$G$26/100,1)</f>
        <v>1.1000000000000001</v>
      </c>
    </row>
    <row r="46" spans="15:35" x14ac:dyDescent="0.25">
      <c r="O46" s="232"/>
      <c r="P46" s="236">
        <f t="shared" si="12"/>
        <v>-53.237384217623692</v>
      </c>
      <c r="Q46" s="236">
        <f t="shared" si="13"/>
        <v>-10.323310093896852</v>
      </c>
      <c r="R46" s="226">
        <f t="shared" si="3"/>
        <v>-54.122182540694794</v>
      </c>
      <c r="S46" s="227">
        <f t="shared" si="4"/>
        <v>3.4028174593052025</v>
      </c>
      <c r="T46" s="3"/>
      <c r="U46" s="3"/>
      <c r="V46" s="3"/>
      <c r="W46" s="3"/>
      <c r="X46" s="208">
        <f>$AG$45*COS(RADIANS(AF46))+$R$25+$AG$45</f>
        <v>-54.122182540694794</v>
      </c>
      <c r="Y46" s="221"/>
      <c r="Z46" s="221"/>
      <c r="AA46" s="208">
        <f>$S$25+($AG$45*SIN(RADIANS($AF46)))</f>
        <v>3.4028174593052025</v>
      </c>
      <c r="AB46" s="210">
        <f t="shared" si="14"/>
        <v>3.597615169618122</v>
      </c>
      <c r="AC46" s="210">
        <f t="shared" si="15"/>
        <v>18.169313144886509</v>
      </c>
      <c r="AD46" s="210">
        <f t="shared" si="16"/>
        <v>-10.974082805650264</v>
      </c>
      <c r="AE46" s="210">
        <f t="shared" si="17"/>
        <v>54.229049499596073</v>
      </c>
      <c r="AF46" s="211">
        <v>45</v>
      </c>
      <c r="AG46" s="212" t="str">
        <f>CONCATENATE("r2=",$AG$45)</f>
        <v>r2=1,1</v>
      </c>
    </row>
    <row r="47" spans="15:35" x14ac:dyDescent="0.25">
      <c r="O47" s="232"/>
      <c r="P47" s="236">
        <f t="shared" si="12"/>
        <v>-54.071240391475598</v>
      </c>
      <c r="Q47" s="236">
        <f t="shared" si="13"/>
        <v>-10.207183133816001</v>
      </c>
      <c r="R47" s="226">
        <f t="shared" si="3"/>
        <v>-54.9</v>
      </c>
      <c r="S47" s="227">
        <f t="shared" si="4"/>
        <v>3.7250000000000001</v>
      </c>
      <c r="T47" s="3"/>
      <c r="U47" s="3"/>
      <c r="V47" s="3"/>
      <c r="W47" s="3"/>
      <c r="X47" s="208">
        <f>$AG$45*COS(RADIANS(AF47))+$R$25+$AG$45</f>
        <v>-54.9</v>
      </c>
      <c r="Y47" s="221"/>
      <c r="Z47" s="221"/>
      <c r="AA47" s="208">
        <f>$S$25+($AG$45*SIN(RADIANS($AF47)))</f>
        <v>3.7250000000000001</v>
      </c>
      <c r="AB47" s="210">
        <f t="shared" si="14"/>
        <v>3.8816058677540126</v>
      </c>
      <c r="AC47" s="210">
        <f t="shared" si="15"/>
        <v>18.453303843022397</v>
      </c>
      <c r="AD47" s="210">
        <f t="shared" si="16"/>
        <v>-10.690092107514372</v>
      </c>
      <c r="AE47" s="210">
        <f t="shared" si="17"/>
        <v>55.026226701455734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-54.742979907492298</v>
      </c>
      <c r="Q48" s="236">
        <f t="shared" si="13"/>
        <v>-10.7146943279292</v>
      </c>
      <c r="R48" s="226">
        <f t="shared" si="3"/>
        <v>-55.677817459305203</v>
      </c>
      <c r="S48" s="227">
        <f t="shared" si="4"/>
        <v>3.402817459305203</v>
      </c>
      <c r="T48" s="3"/>
      <c r="U48" s="3"/>
      <c r="V48" s="3"/>
      <c r="W48" s="3"/>
      <c r="X48" s="208">
        <f>$AG$45*COS(RADIANS(AF48))+$R$25+$AG$45</f>
        <v>-55.677817459305203</v>
      </c>
      <c r="Y48" s="221"/>
      <c r="Z48" s="221"/>
      <c r="AA48" s="208">
        <f>$S$25+($AG$45*SIN(RADIANS($AF48)))</f>
        <v>3.4028174593052025</v>
      </c>
      <c r="AB48" s="210">
        <f t="shared" si="14"/>
        <v>3.497351079108086</v>
      </c>
      <c r="AC48" s="210">
        <f t="shared" si="15"/>
        <v>18.069049054376471</v>
      </c>
      <c r="AD48" s="210">
        <f t="shared" si="16"/>
        <v>-11.0743468961603</v>
      </c>
      <c r="AE48" s="210">
        <f t="shared" si="17"/>
        <v>55.781704202122256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-54.859106867573153</v>
      </c>
      <c r="Q49" s="236">
        <f t="shared" si="13"/>
        <v>-11.548550501781104</v>
      </c>
      <c r="R49" s="226">
        <f t="shared" si="3"/>
        <v>-56</v>
      </c>
      <c r="S49" s="227">
        <f t="shared" si="4"/>
        <v>2.625</v>
      </c>
      <c r="T49" s="3"/>
      <c r="U49" s="3"/>
      <c r="V49" s="3"/>
      <c r="W49" s="3"/>
      <c r="X49" s="208">
        <f>$AG$45*COS(RADIANS(AF49))+$R$25+$AG$45</f>
        <v>-56</v>
      </c>
      <c r="Y49" s="221"/>
      <c r="Z49" s="221"/>
      <c r="AA49" s="208">
        <f>$S$25+($AG$45*SIN(RADIANS($AF49)))</f>
        <v>2.625</v>
      </c>
      <c r="AB49" s="210">
        <f t="shared" si="14"/>
        <v>2.6837751594689845</v>
      </c>
      <c r="AC49" s="210">
        <f t="shared" si="15"/>
        <v>17.255473134737372</v>
      </c>
      <c r="AD49" s="210">
        <f t="shared" si="16"/>
        <v>-11.887922815799401</v>
      </c>
      <c r="AE49" s="210">
        <f t="shared" si="17"/>
        <v>56.061489678744714</v>
      </c>
      <c r="AF49" s="211">
        <v>180</v>
      </c>
      <c r="AG49" s="213"/>
    </row>
    <row r="50" spans="15:33" x14ac:dyDescent="0.25">
      <c r="O50" s="232"/>
      <c r="P50" s="236">
        <f t="shared" si="12"/>
        <v>-54.351595673459947</v>
      </c>
      <c r="Q50" s="236">
        <f t="shared" si="13"/>
        <v>-12.220290017797804</v>
      </c>
      <c r="R50" s="226">
        <f t="shared" si="3"/>
        <v>-55.677817459305203</v>
      </c>
      <c r="S50" s="227">
        <f t="shared" si="4"/>
        <v>1.8471825406947975</v>
      </c>
      <c r="T50" s="3"/>
      <c r="U50" s="3"/>
      <c r="V50" s="3"/>
      <c r="W50" s="3"/>
      <c r="X50" s="208">
        <f>$AG$45*COS(RADIANS(AF50))+$R$25+$AG$45</f>
        <v>-55.677817459305203</v>
      </c>
      <c r="Y50" s="221"/>
      <c r="Z50" s="221"/>
      <c r="AA50" s="208">
        <f>$S$25+($AG$45*SIN(RADIANS($AF50)))</f>
        <v>1.8471825406947975</v>
      </c>
      <c r="AB50" s="210">
        <f t="shared" si="14"/>
        <v>1.9001635500442797</v>
      </c>
      <c r="AC50" s="210">
        <f t="shared" si="15"/>
        <v>16.471861525312665</v>
      </c>
      <c r="AD50" s="210">
        <f t="shared" si="16"/>
        <v>-12.671534425224106</v>
      </c>
      <c r="AE50" s="210">
        <f t="shared" si="17"/>
        <v>55.70845034974819</v>
      </c>
      <c r="AF50" s="211">
        <v>-135</v>
      </c>
      <c r="AG50" s="213"/>
    </row>
    <row r="51" spans="15:33" x14ac:dyDescent="0.25">
      <c r="O51" s="232"/>
      <c r="P51" s="236">
        <f t="shared" si="12"/>
        <v>-53.517739499608048</v>
      </c>
      <c r="Q51" s="236">
        <f t="shared" si="13"/>
        <v>-12.336416977878653</v>
      </c>
      <c r="R51" s="226">
        <f t="shared" si="3"/>
        <v>-54.9</v>
      </c>
      <c r="S51" s="227">
        <f t="shared" si="4"/>
        <v>1.5249999999999999</v>
      </c>
      <c r="T51" s="3"/>
      <c r="U51" s="3"/>
      <c r="V51" s="3"/>
      <c r="W51" s="3"/>
      <c r="X51" s="208">
        <f>$AG$45*COS(RADIANS(AF51))+$R$25+$AG$45</f>
        <v>-54.9</v>
      </c>
      <c r="Y51" s="221"/>
      <c r="Z51" s="221"/>
      <c r="AA51" s="208">
        <f>$S$25+($AG$45*SIN(RADIANS($AF51)))</f>
        <v>1.5249999999999999</v>
      </c>
      <c r="AB51" s="210">
        <f t="shared" si="14"/>
        <v>1.5911402711945872</v>
      </c>
      <c r="AC51" s="210">
        <f t="shared" si="15"/>
        <v>16.162838246462972</v>
      </c>
      <c r="AD51" s="210">
        <f t="shared" si="16"/>
        <v>-12.980557704073798</v>
      </c>
      <c r="AE51" s="210">
        <f t="shared" si="17"/>
        <v>54.921176471375773</v>
      </c>
      <c r="AF51" s="211">
        <v>-90</v>
      </c>
      <c r="AG51" s="213"/>
    </row>
    <row r="52" spans="15:33" x14ac:dyDescent="0.25">
      <c r="O52" s="232"/>
      <c r="P52" s="236">
        <f t="shared" si="12"/>
        <v>-52.845999983591348</v>
      </c>
      <c r="Q52" s="236">
        <f t="shared" si="13"/>
        <v>-11.828905783765457</v>
      </c>
      <c r="R52" s="226">
        <f t="shared" si="3"/>
        <v>-54.122182540694801</v>
      </c>
      <c r="S52" s="227">
        <f t="shared" si="4"/>
        <v>1.8471825406947977</v>
      </c>
      <c r="T52" s="3"/>
      <c r="U52" s="3"/>
      <c r="V52" s="3"/>
      <c r="W52" s="3"/>
      <c r="X52" s="208">
        <f>$AG$45*COS(RADIANS(AF52))+$R$25+$AG$45</f>
        <v>-54.122182540694794</v>
      </c>
      <c r="Y52" s="221"/>
      <c r="Z52" s="221"/>
      <c r="AA52" s="208">
        <f>$S$25+($AG$45*SIN(RADIANS($AF52)))</f>
        <v>1.8471825406947977</v>
      </c>
      <c r="AB52" s="210">
        <f t="shared" si="14"/>
        <v>1.9547382077417028</v>
      </c>
      <c r="AC52" s="210">
        <f t="shared" si="15"/>
        <v>16.526436183010087</v>
      </c>
      <c r="AD52" s="210">
        <f t="shared" si="16"/>
        <v>-12.616959767526684</v>
      </c>
      <c r="AE52" s="210">
        <f t="shared" si="17"/>
        <v>54.153695407672195</v>
      </c>
      <c r="AF52" s="211">
        <v>-45</v>
      </c>
      <c r="AG52" s="213"/>
    </row>
    <row r="53" spans="15:33" x14ac:dyDescent="0.25">
      <c r="O53" s="232"/>
      <c r="P53" s="236">
        <f t="shared" si="12"/>
        <v>-52.729873023510493</v>
      </c>
      <c r="Q53" s="236">
        <f t="shared" si="13"/>
        <v>-10.995049609913551</v>
      </c>
      <c r="R53" s="228">
        <f t="shared" si="3"/>
        <v>-53.8</v>
      </c>
      <c r="S53" s="229">
        <f t="shared" si="4"/>
        <v>2.625</v>
      </c>
      <c r="T53" s="214"/>
      <c r="U53" s="214"/>
      <c r="V53" s="214"/>
      <c r="W53" s="214"/>
      <c r="X53" s="215">
        <f>$AG$45*COS(RADIANS(AF53))+$R$25+$AG$45</f>
        <v>-53.8</v>
      </c>
      <c r="Y53" s="222"/>
      <c r="Z53" s="222"/>
      <c r="AA53" s="215">
        <f>$S$25+($AG$45*SIN(RADIANS($AF53)))</f>
        <v>2.625</v>
      </c>
      <c r="AB53" s="217">
        <f t="shared" si="14"/>
        <v>2.7933502002207646</v>
      </c>
      <c r="AC53" s="217">
        <f t="shared" si="15"/>
        <v>17.36504817548915</v>
      </c>
      <c r="AD53" s="217">
        <f t="shared" si="16"/>
        <v>-11.778347775047621</v>
      </c>
      <c r="AE53" s="217">
        <f t="shared" si="17"/>
        <v>53.864001197460254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P31" activePane="bottomRight" state="frozen"/>
      <selection pane="topRight" activeCell="AH1" sqref="AH1"/>
      <selection pane="bottomLeft" activeCell="A31" sqref="A31"/>
      <selection pane="bottomRight" activeCell="L26" sqref="L26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-39.5</v>
      </c>
      <c r="Q4" s="255">
        <f>ROUND(IF(R4&lt;0,AE4*SIN(RADIANS(AD4)),AE4*SIN(RADIANS($AC4)))+O4,1)</f>
        <v>-4.4000000000000004</v>
      </c>
      <c r="R4" s="210">
        <f>IF(X4&lt;0,-AE4*COS(RADIANS(AB4)),AE4*COS(RADIANS(AB4)))</f>
        <v>-39.61363636363636</v>
      </c>
      <c r="S4" s="173">
        <f>IF(X4&lt;0,AE4*SIN(RADIANS(AB4)),AE4*SIN(RADIANS(AB4)))</f>
        <v>3.7363636363636372</v>
      </c>
      <c r="T4" s="22">
        <v>1.45</v>
      </c>
      <c r="U4" s="19">
        <v>0.54800000000000004</v>
      </c>
      <c r="V4" s="20">
        <f>IF(Y4=1,$G$26*W4/100,V3+$G$26*W4/100)</f>
        <v>9.8863636363636367</v>
      </c>
      <c r="W4" s="18">
        <f>T4*$G$22/16.5</f>
        <v>1.3181818181818181</v>
      </c>
      <c r="X4" s="21">
        <f>V4-$G$25/2</f>
        <v>-39.61363636363636</v>
      </c>
      <c r="Y4" s="19">
        <v>2</v>
      </c>
      <c r="Z4" s="18">
        <f t="shared" ref="Z4:Z25" si="0">U4*$G$22/16.5</f>
        <v>0.49818181818181823</v>
      </c>
      <c r="AA4" s="20">
        <f>$G$26*Z4/100</f>
        <v>3.7363636363636368</v>
      </c>
      <c r="AB4" s="22">
        <f>DEGREES(ATAN(AA4/(ABS(X4))))</f>
        <v>5.3882052009975334</v>
      </c>
      <c r="AC4" s="22">
        <f>DEGREES(ATAN(AA4/(ABS(X4))))+$G$24</f>
        <v>17.136127209044204</v>
      </c>
      <c r="AD4" s="22">
        <f>DEGREES(ATAN(AA4/(ABS(X4))))-$G$24</f>
        <v>-6.3597168070491383</v>
      </c>
      <c r="AE4" s="22">
        <f>SQRT(AA4*AA4+X4*X4)</f>
        <v>39.789453366106372</v>
      </c>
    </row>
    <row r="5" spans="15:31" x14ac:dyDescent="0.25">
      <c r="O5" s="234">
        <v>0</v>
      </c>
      <c r="P5" s="256">
        <f t="shared" ref="P5:P24" si="1">ROUND(IF(R5&lt;0,-AE5*COS(RADIANS(AD5)),AE5*COS(RADIANS(AC5))),1)</f>
        <v>-30.3</v>
      </c>
      <c r="Q5" s="257">
        <f t="shared" ref="Q5:Q24" si="2">ROUND(IF(R5&lt;0,AE5*SIN(RADIANS(AD5)),AE5*SIN(RADIANS($AC5)))+O5,1)</f>
        <v>-0.4</v>
      </c>
      <c r="R5" s="210">
        <f t="shared" ref="R5:R53" si="3">IF(X5&lt;0,-AE5*COS(RADIANS(AB5)),AE5*COS(RADIANS(AB5)))</f>
        <v>-29.727272727272727</v>
      </c>
      <c r="S5" s="173">
        <f t="shared" ref="S5:S53" si="4">IF(X5&lt;0,AE5*SIN(RADIANS(AB5)),AE5*SIN(RADIANS(AB5)))</f>
        <v>5.8090909090909086</v>
      </c>
      <c r="T5" s="22">
        <v>1.45</v>
      </c>
      <c r="U5" s="19">
        <v>0.85199999999999998</v>
      </c>
      <c r="V5" s="20">
        <f>IF(Y5=1,$G$26*W5/100,V4+$G$26*W5/100)</f>
        <v>19.772727272727273</v>
      </c>
      <c r="W5" s="18">
        <f t="shared" ref="W5:W24" si="5">T5*$G$22/16.5</f>
        <v>1.3181818181818181</v>
      </c>
      <c r="X5" s="21">
        <f t="shared" ref="X5:X25" si="6">V5-$G$25/2</f>
        <v>-29.727272727272727</v>
      </c>
      <c r="Y5" s="19">
        <v>3</v>
      </c>
      <c r="Z5" s="18">
        <f t="shared" si="0"/>
        <v>0.77454545454545454</v>
      </c>
      <c r="AA5" s="20">
        <f>$G$26*Z5/100</f>
        <v>5.8090909090909086</v>
      </c>
      <c r="AB5" s="22">
        <f t="shared" ref="AB5:AB24" si="7">DEGREES(ATAN(AA5/(ABS(X5))))</f>
        <v>11.0569949527981</v>
      </c>
      <c r="AC5" s="22">
        <f t="shared" ref="AC5:AC25" si="8">DEGREES(ATAN(AA5/(ABS(X5))))+$G$24</f>
        <v>22.804916960844771</v>
      </c>
      <c r="AD5" s="22">
        <f t="shared" ref="AD5:AD25" si="9">DEGREES(ATAN(AA5/(ABS(X5))))-$G$24</f>
        <v>-0.69092705524857223</v>
      </c>
      <c r="AE5" s="22">
        <f>SQRT(AA5*AA5+X5*X5)</f>
        <v>30.289540785421877</v>
      </c>
    </row>
    <row r="6" spans="15:31" x14ac:dyDescent="0.25">
      <c r="O6" s="234">
        <v>0</v>
      </c>
      <c r="P6" s="256">
        <f t="shared" si="1"/>
        <v>-21</v>
      </c>
      <c r="Q6" s="257">
        <f t="shared" si="2"/>
        <v>3.5</v>
      </c>
      <c r="R6" s="210">
        <f t="shared" si="3"/>
        <v>-19.84090909090909</v>
      </c>
      <c r="S6" s="173">
        <f t="shared" si="4"/>
        <v>7.6909090909090914</v>
      </c>
      <c r="T6" s="22">
        <v>1.45</v>
      </c>
      <c r="U6" s="19">
        <v>1.1279999999999999</v>
      </c>
      <c r="V6" s="20">
        <f>IF(Y6=1,$G$26*W6/100,V5+$G$26*W6/100)</f>
        <v>29.65909090909091</v>
      </c>
      <c r="W6" s="18">
        <f t="shared" si="5"/>
        <v>1.3181818181818181</v>
      </c>
      <c r="X6" s="21">
        <f t="shared" si="6"/>
        <v>-19.84090909090909</v>
      </c>
      <c r="Y6" s="19">
        <v>4</v>
      </c>
      <c r="Z6" s="18">
        <f t="shared" si="0"/>
        <v>1.0254545454545454</v>
      </c>
      <c r="AA6" s="20">
        <f>$G$26*Z6/100</f>
        <v>7.6909090909090905</v>
      </c>
      <c r="AB6" s="22">
        <f t="shared" si="7"/>
        <v>21.187768763875781</v>
      </c>
      <c r="AC6" s="22">
        <f t="shared" si="8"/>
        <v>32.935690771922452</v>
      </c>
      <c r="AD6" s="22">
        <f t="shared" si="9"/>
        <v>9.4398467558291088</v>
      </c>
      <c r="AE6" s="22">
        <f>SQRT(AA6*AA6+X6*X6)</f>
        <v>21.279373961617083</v>
      </c>
    </row>
    <row r="7" spans="15:31" x14ac:dyDescent="0.25">
      <c r="O7" s="234">
        <v>0</v>
      </c>
      <c r="P7" s="256">
        <f t="shared" si="1"/>
        <v>-11.6</v>
      </c>
      <c r="Q7" s="257">
        <f t="shared" si="2"/>
        <v>6.8</v>
      </c>
      <c r="R7" s="210">
        <f t="shared" si="3"/>
        <v>-9.9545454545454515</v>
      </c>
      <c r="S7" s="173">
        <f t="shared" si="4"/>
        <v>9</v>
      </c>
      <c r="T7" s="22">
        <v>1.45</v>
      </c>
      <c r="U7" s="19">
        <v>1.32</v>
      </c>
      <c r="V7" s="20">
        <f>IF(Y7=1,$G$26*W7/100,V6+$G$26*W7/100)</f>
        <v>39.545454545454547</v>
      </c>
      <c r="W7" s="18">
        <f t="shared" si="5"/>
        <v>1.3181818181818181</v>
      </c>
      <c r="X7" s="21">
        <f t="shared" si="6"/>
        <v>-9.9545454545454533</v>
      </c>
      <c r="Y7" s="19">
        <v>5</v>
      </c>
      <c r="Z7" s="18">
        <f t="shared" si="0"/>
        <v>1.2</v>
      </c>
      <c r="AA7" s="20">
        <f>$G$26*Z7/100</f>
        <v>9</v>
      </c>
      <c r="AB7" s="22">
        <f t="shared" si="7"/>
        <v>42.117036547460465</v>
      </c>
      <c r="AC7" s="22">
        <f t="shared" si="8"/>
        <v>53.864958555507137</v>
      </c>
      <c r="AD7" s="22">
        <f t="shared" si="9"/>
        <v>30.369114539413793</v>
      </c>
      <c r="AE7" s="22">
        <f>SQRT(AA7*AA7+X7*X7)</f>
        <v>13.419872399043573</v>
      </c>
    </row>
    <row r="8" spans="15:31" x14ac:dyDescent="0.25">
      <c r="O8" s="234">
        <v>0</v>
      </c>
      <c r="P8" s="256">
        <f t="shared" si="1"/>
        <v>-2.1</v>
      </c>
      <c r="Q8" s="257">
        <f t="shared" si="2"/>
        <v>9.6999999999999993</v>
      </c>
      <c r="R8" s="210">
        <f t="shared" si="3"/>
        <v>-6.8181818181813902E-2</v>
      </c>
      <c r="S8" s="173">
        <f t="shared" si="4"/>
        <v>9.8863636363636367</v>
      </c>
      <c r="T8" s="22">
        <v>1.45</v>
      </c>
      <c r="U8" s="19">
        <v>1.45</v>
      </c>
      <c r="V8" s="20">
        <f>IF(Y8=1,$G$26*W8/100,V7+$G$26*W8/100)</f>
        <v>49.431818181818187</v>
      </c>
      <c r="W8" s="18">
        <f t="shared" si="5"/>
        <v>1.3181818181818181</v>
      </c>
      <c r="X8" s="21">
        <f t="shared" si="6"/>
        <v>-6.8181818181813014E-2</v>
      </c>
      <c r="Y8" s="19">
        <v>6</v>
      </c>
      <c r="Z8" s="18">
        <f t="shared" si="0"/>
        <v>1.3181818181818181</v>
      </c>
      <c r="AA8" s="20">
        <f>$G$26*Z8/100</f>
        <v>9.8863636363636367</v>
      </c>
      <c r="AB8" s="22">
        <f t="shared" si="7"/>
        <v>89.604862957492543</v>
      </c>
      <c r="AC8" s="22">
        <f t="shared" si="8"/>
        <v>101.35278496553921</v>
      </c>
      <c r="AD8" s="22">
        <f t="shared" si="9"/>
        <v>77.856940949445871</v>
      </c>
      <c r="AE8" s="22">
        <f>SQRT(AA8*AA8+X8*X8)</f>
        <v>9.8865987432859743</v>
      </c>
    </row>
    <row r="9" spans="15:31" x14ac:dyDescent="0.25">
      <c r="O9" s="234">
        <v>0</v>
      </c>
      <c r="P9" s="256">
        <f t="shared" si="1"/>
        <v>7.5</v>
      </c>
      <c r="Q9" s="257">
        <f t="shared" si="2"/>
        <v>12</v>
      </c>
      <c r="R9" s="210">
        <f t="shared" si="3"/>
        <v>9.8181818181818272</v>
      </c>
      <c r="S9" s="173">
        <f t="shared" si="4"/>
        <v>10.186363636363636</v>
      </c>
      <c r="T9" s="22">
        <v>1.45</v>
      </c>
      <c r="U9" s="19">
        <v>1.494</v>
      </c>
      <c r="V9" s="20">
        <f>IF(Y9=1,$G$26*W9/100,V8+$G$26*W9/100)</f>
        <v>59.318181818181827</v>
      </c>
      <c r="W9" s="18">
        <f t="shared" si="5"/>
        <v>1.3181818181818181</v>
      </c>
      <c r="X9" s="21">
        <f t="shared" si="6"/>
        <v>9.8181818181818272</v>
      </c>
      <c r="Y9" s="19">
        <v>7</v>
      </c>
      <c r="Z9" s="18">
        <f t="shared" si="0"/>
        <v>1.3581818181818182</v>
      </c>
      <c r="AA9" s="20">
        <f>$G$26*Z9/100</f>
        <v>10.186363636363636</v>
      </c>
      <c r="AB9" s="22">
        <f t="shared" si="7"/>
        <v>46.054404503521809</v>
      </c>
      <c r="AC9" s="22">
        <f t="shared" si="8"/>
        <v>57.802326511568481</v>
      </c>
      <c r="AD9" s="22">
        <f t="shared" si="9"/>
        <v>34.306482495475137</v>
      </c>
      <c r="AE9" s="22">
        <f>SQRT(AA9*AA9+X9*X9)</f>
        <v>14.147745345004893</v>
      </c>
    </row>
    <row r="10" spans="15:31" x14ac:dyDescent="0.25">
      <c r="O10" s="234">
        <v>0</v>
      </c>
      <c r="P10" s="256">
        <f t="shared" si="1"/>
        <v>17.2</v>
      </c>
      <c r="Q10" s="257">
        <f t="shared" si="2"/>
        <v>14.1</v>
      </c>
      <c r="R10" s="210">
        <f t="shared" si="3"/>
        <v>19.704545454545467</v>
      </c>
      <c r="S10" s="173">
        <f t="shared" si="4"/>
        <v>10.295454545454547</v>
      </c>
      <c r="T10" s="22">
        <v>1.45</v>
      </c>
      <c r="U10" s="19">
        <v>1.51</v>
      </c>
      <c r="V10" s="20">
        <f>IF(Y10=1,$G$26*W10/100,V9+$G$26*W10/100)</f>
        <v>69.204545454545467</v>
      </c>
      <c r="W10" s="18">
        <f t="shared" si="5"/>
        <v>1.3181818181818181</v>
      </c>
      <c r="X10" s="21">
        <f t="shared" si="6"/>
        <v>19.704545454545467</v>
      </c>
      <c r="Y10" s="19">
        <v>8</v>
      </c>
      <c r="Z10" s="18">
        <f t="shared" si="0"/>
        <v>1.3727272727272726</v>
      </c>
      <c r="AA10" s="20">
        <f>$G$26*Z10/100</f>
        <v>10.295454545454545</v>
      </c>
      <c r="AB10" s="22">
        <f t="shared" si="7"/>
        <v>27.586678329785734</v>
      </c>
      <c r="AC10" s="22">
        <f t="shared" si="8"/>
        <v>39.334600337832406</v>
      </c>
      <c r="AD10" s="22">
        <f t="shared" si="9"/>
        <v>15.838756321739062</v>
      </c>
      <c r="AE10" s="22">
        <f>SQRT(AA10*AA10+X10*X10)</f>
        <v>22.232082580535931</v>
      </c>
    </row>
    <row r="11" spans="15:31" x14ac:dyDescent="0.25">
      <c r="O11" s="234">
        <v>0</v>
      </c>
      <c r="P11" s="256">
        <f t="shared" si="1"/>
        <v>27</v>
      </c>
      <c r="Q11" s="257">
        <f t="shared" si="2"/>
        <v>15.6</v>
      </c>
      <c r="R11" s="210">
        <f t="shared" si="3"/>
        <v>29.590909090909108</v>
      </c>
      <c r="S11" s="173">
        <f t="shared" si="4"/>
        <v>9.7499999999999982</v>
      </c>
      <c r="T11" s="22">
        <v>1.45</v>
      </c>
      <c r="U11" s="19">
        <v>1.43</v>
      </c>
      <c r="V11" s="20">
        <f>IF(Y11=1,$G$26*W11/100,V10+$G$26*W11/100)</f>
        <v>79.090909090909108</v>
      </c>
      <c r="W11" s="18">
        <f t="shared" si="5"/>
        <v>1.3181818181818181</v>
      </c>
      <c r="X11" s="21">
        <f t="shared" si="6"/>
        <v>29.590909090909108</v>
      </c>
      <c r="Y11" s="19">
        <v>9</v>
      </c>
      <c r="Z11" s="18">
        <f t="shared" si="0"/>
        <v>1.3</v>
      </c>
      <c r="AA11" s="20">
        <f>$G$26*Z11/100</f>
        <v>9.75</v>
      </c>
      <c r="AB11" s="22">
        <f t="shared" si="7"/>
        <v>18.236694321722805</v>
      </c>
      <c r="AC11" s="22">
        <f t="shared" si="8"/>
        <v>29.984616329769477</v>
      </c>
      <c r="AD11" s="22">
        <f t="shared" si="9"/>
        <v>6.4887723136761331</v>
      </c>
      <c r="AE11" s="22">
        <f>SQRT(AA11*AA11+X11*X11)</f>
        <v>31.155808460485297</v>
      </c>
    </row>
    <row r="12" spans="15:31" x14ac:dyDescent="0.25">
      <c r="O12" s="234">
        <v>0</v>
      </c>
      <c r="P12" s="256">
        <f t="shared" si="1"/>
        <v>37</v>
      </c>
      <c r="Q12" s="257">
        <f t="shared" si="2"/>
        <v>15.8</v>
      </c>
      <c r="R12" s="210">
        <f t="shared" si="3"/>
        <v>39.477272727272748</v>
      </c>
      <c r="S12" s="173">
        <f t="shared" si="4"/>
        <v>7.9772727272727275</v>
      </c>
      <c r="T12" s="22">
        <v>1.45</v>
      </c>
      <c r="U12" s="19">
        <v>1.17</v>
      </c>
      <c r="V12" s="20">
        <f>IF(Y12=1,$G$26*W12/100,V11+$G$26*W12/100)</f>
        <v>88.977272727272748</v>
      </c>
      <c r="W12" s="18">
        <f t="shared" si="5"/>
        <v>1.3181818181818181</v>
      </c>
      <c r="X12" s="21">
        <f t="shared" si="6"/>
        <v>39.477272727272748</v>
      </c>
      <c r="Y12" s="19">
        <v>10</v>
      </c>
      <c r="Z12" s="18">
        <f t="shared" si="0"/>
        <v>1.0636363636363635</v>
      </c>
      <c r="AA12" s="20">
        <f>$G$26*Z12/100</f>
        <v>7.9772727272727266</v>
      </c>
      <c r="AB12" s="22">
        <f t="shared" si="7"/>
        <v>11.424067342001079</v>
      </c>
      <c r="AC12" s="22">
        <f t="shared" si="8"/>
        <v>23.171989350047753</v>
      </c>
      <c r="AD12" s="22">
        <f t="shared" si="9"/>
        <v>-0.32385466604559277</v>
      </c>
      <c r="AE12" s="22">
        <f t="shared" ref="AE12:AE25" si="10">SQRT(AA12*AA12+X12*X12)</f>
        <v>40.275202571169793</v>
      </c>
    </row>
    <row r="13" spans="15:31" x14ac:dyDescent="0.25">
      <c r="O13" s="234">
        <v>0</v>
      </c>
      <c r="P13" s="256">
        <f t="shared" si="1"/>
        <v>42.6</v>
      </c>
      <c r="Q13" s="257">
        <f t="shared" si="2"/>
        <v>15</v>
      </c>
      <c r="R13" s="210">
        <f t="shared" si="3"/>
        <v>44.809090909090934</v>
      </c>
      <c r="S13" s="173">
        <f t="shared" si="4"/>
        <v>6.0136363636363628</v>
      </c>
      <c r="T13" s="18">
        <v>0.78200000000000003</v>
      </c>
      <c r="U13" s="19">
        <v>0.88200000000000001</v>
      </c>
      <c r="V13" s="20">
        <f>IF(Y13=1,$G$26*W13/100,V12+$G$26*W13/100)</f>
        <v>94.309090909090926</v>
      </c>
      <c r="W13" s="18">
        <f t="shared" si="5"/>
        <v>0.71090909090909093</v>
      </c>
      <c r="X13" s="21">
        <f t="shared" si="6"/>
        <v>44.809090909090926</v>
      </c>
      <c r="Y13" s="19">
        <v>11</v>
      </c>
      <c r="Z13" s="18">
        <f t="shared" si="0"/>
        <v>0.80181818181818187</v>
      </c>
      <c r="AA13" s="21">
        <f>$G$26*Z13/100</f>
        <v>6.0136363636363637</v>
      </c>
      <c r="AB13" s="22">
        <f t="shared" si="7"/>
        <v>7.6437488042095438</v>
      </c>
      <c r="AC13" s="22">
        <f t="shared" si="8"/>
        <v>19.391670812256216</v>
      </c>
      <c r="AD13" s="22">
        <f t="shared" si="9"/>
        <v>-4.1041732038371279</v>
      </c>
      <c r="AE13" s="22">
        <f t="shared" si="10"/>
        <v>45.210822270925632</v>
      </c>
    </row>
    <row r="14" spans="15:31" ht="15.75" x14ac:dyDescent="0.25">
      <c r="O14" s="234">
        <v>0</v>
      </c>
      <c r="P14" s="258">
        <f>P36</f>
        <v>47.850909491300456</v>
      </c>
      <c r="Q14" s="259">
        <f>Q36</f>
        <v>13.022342970214094</v>
      </c>
      <c r="R14" s="210">
        <f t="shared" si="3"/>
        <v>49.5</v>
      </c>
      <c r="S14" s="173">
        <f t="shared" si="4"/>
        <v>3.0068181818181818</v>
      </c>
      <c r="T14" s="23"/>
      <c r="U14" s="24">
        <v>0.16800000000000001</v>
      </c>
      <c r="V14" s="25">
        <f>G25</f>
        <v>99</v>
      </c>
      <c r="W14" s="18">
        <f t="shared" si="5"/>
        <v>0</v>
      </c>
      <c r="X14" s="21">
        <f t="shared" si="6"/>
        <v>49.5</v>
      </c>
      <c r="Y14" s="26">
        <v>12</v>
      </c>
      <c r="Z14" s="18">
        <f>U14*$G$22/16.5</f>
        <v>0.15272727272727274</v>
      </c>
      <c r="AA14" s="240">
        <f>AA13-(AA13-AA15)/2</f>
        <v>3.0068181818181818</v>
      </c>
      <c r="AB14" s="22">
        <f t="shared" si="7"/>
        <v>3.4760922922116464</v>
      </c>
      <c r="AC14" s="22">
        <f t="shared" si="8"/>
        <v>15.224014300258318</v>
      </c>
      <c r="AD14" s="22">
        <f t="shared" si="9"/>
        <v>-8.2718297158350254</v>
      </c>
      <c r="AE14" s="22">
        <f t="shared" si="10"/>
        <v>49.59123869776306</v>
      </c>
    </row>
    <row r="15" spans="15:31" x14ac:dyDescent="0.25">
      <c r="O15" s="234">
        <v>1</v>
      </c>
      <c r="P15" s="260">
        <f t="shared" si="1"/>
        <v>43.2</v>
      </c>
      <c r="Q15" s="261">
        <f t="shared" si="2"/>
        <v>10</v>
      </c>
      <c r="R15" s="210">
        <f t="shared" si="3"/>
        <v>44.168181818181822</v>
      </c>
      <c r="S15" s="173">
        <f t="shared" si="4"/>
        <v>0</v>
      </c>
      <c r="T15" s="27">
        <v>0.78200000000000003</v>
      </c>
      <c r="U15" s="28">
        <v>0</v>
      </c>
      <c r="V15" s="29">
        <f>IF(Y15=11,$G$25-$G$26*W15/100,V14-$G$26*W15/100)</f>
        <v>93.668181818181822</v>
      </c>
      <c r="W15" s="18">
        <f t="shared" si="5"/>
        <v>0.71090909090909093</v>
      </c>
      <c r="X15" s="21">
        <f t="shared" si="6"/>
        <v>44.168181818181822</v>
      </c>
      <c r="Y15" s="28">
        <v>11</v>
      </c>
      <c r="Z15" s="18">
        <f t="shared" si="0"/>
        <v>0</v>
      </c>
      <c r="AA15" s="30">
        <f t="shared" ref="AA15:AA24" si="11">$G$26*Z15/100</f>
        <v>0</v>
      </c>
      <c r="AB15" s="22">
        <f t="shared" si="7"/>
        <v>0</v>
      </c>
      <c r="AC15" s="22">
        <f t="shared" si="8"/>
        <v>11.747922008046672</v>
      </c>
      <c r="AD15" s="22">
        <f t="shared" si="9"/>
        <v>-11.747922008046672</v>
      </c>
      <c r="AE15" s="22">
        <f t="shared" si="10"/>
        <v>44.168181818181822</v>
      </c>
    </row>
    <row r="16" spans="15:31" x14ac:dyDescent="0.25">
      <c r="O16" s="234">
        <v>0</v>
      </c>
      <c r="P16" s="260">
        <f t="shared" si="1"/>
        <v>38</v>
      </c>
      <c r="Q16" s="261">
        <f t="shared" si="2"/>
        <v>7.9</v>
      </c>
      <c r="R16" s="210">
        <f t="shared" si="3"/>
        <v>38.836363636363643</v>
      </c>
      <c r="S16" s="173">
        <f t="shared" si="4"/>
        <v>0</v>
      </c>
      <c r="T16" s="27">
        <v>0.78200000000000003</v>
      </c>
      <c r="U16" s="28">
        <v>0</v>
      </c>
      <c r="V16" s="29">
        <f>IF(Y16=11,$G$25-$G$26*W16/100,V15-$G$26*W16/100)</f>
        <v>88.336363636363643</v>
      </c>
      <c r="W16" s="18">
        <f t="shared" si="5"/>
        <v>0.71090909090909093</v>
      </c>
      <c r="X16" s="21">
        <f t="shared" si="6"/>
        <v>38.836363636363643</v>
      </c>
      <c r="Y16" s="28">
        <v>10</v>
      </c>
      <c r="Z16" s="18">
        <f t="shared" si="0"/>
        <v>0</v>
      </c>
      <c r="AA16" s="29">
        <f t="shared" si="11"/>
        <v>0</v>
      </c>
      <c r="AB16" s="22">
        <f t="shared" si="7"/>
        <v>0</v>
      </c>
      <c r="AC16" s="22">
        <f t="shared" si="8"/>
        <v>11.747922008046672</v>
      </c>
      <c r="AD16" s="22">
        <f t="shared" si="9"/>
        <v>-11.747922008046672</v>
      </c>
      <c r="AE16" s="22">
        <f t="shared" si="10"/>
        <v>38.836363636363643</v>
      </c>
    </row>
    <row r="17" spans="2:32" x14ac:dyDescent="0.25">
      <c r="O17" s="234">
        <v>0</v>
      </c>
      <c r="P17" s="260">
        <f t="shared" si="1"/>
        <v>28.3</v>
      </c>
      <c r="Q17" s="261">
        <f t="shared" si="2"/>
        <v>5.9</v>
      </c>
      <c r="R17" s="210">
        <f t="shared" si="3"/>
        <v>28.950000000000003</v>
      </c>
      <c r="S17" s="173">
        <f t="shared" si="4"/>
        <v>0</v>
      </c>
      <c r="T17" s="28">
        <v>1.45</v>
      </c>
      <c r="U17" s="28">
        <v>0</v>
      </c>
      <c r="V17" s="29">
        <f>IF(Y17=11,$G$25-$G$26*W17/100,V16-$G$26*W17/100)</f>
        <v>78.45</v>
      </c>
      <c r="W17" s="18">
        <f t="shared" si="5"/>
        <v>1.3181818181818181</v>
      </c>
      <c r="X17" s="21">
        <f t="shared" si="6"/>
        <v>28.950000000000003</v>
      </c>
      <c r="Y17" s="28">
        <v>9</v>
      </c>
      <c r="Z17" s="18">
        <f t="shared" si="0"/>
        <v>0</v>
      </c>
      <c r="AA17" s="29">
        <f t="shared" si="11"/>
        <v>0</v>
      </c>
      <c r="AB17" s="22">
        <f t="shared" si="7"/>
        <v>0</v>
      </c>
      <c r="AC17" s="22">
        <f t="shared" si="8"/>
        <v>11.747922008046672</v>
      </c>
      <c r="AD17" s="22">
        <f t="shared" si="9"/>
        <v>-11.747922008046672</v>
      </c>
      <c r="AE17" s="22">
        <f t="shared" si="10"/>
        <v>28.950000000000003</v>
      </c>
    </row>
    <row r="18" spans="2:32" x14ac:dyDescent="0.25">
      <c r="O18" s="234">
        <v>0</v>
      </c>
      <c r="P18" s="260">
        <f t="shared" si="1"/>
        <v>18.7</v>
      </c>
      <c r="Q18" s="261">
        <f t="shared" si="2"/>
        <v>3.9</v>
      </c>
      <c r="R18" s="210">
        <f t="shared" si="3"/>
        <v>19.063636363636363</v>
      </c>
      <c r="S18" s="173">
        <f t="shared" si="4"/>
        <v>0</v>
      </c>
      <c r="T18" s="28">
        <v>1.45</v>
      </c>
      <c r="U18" s="28">
        <v>0</v>
      </c>
      <c r="V18" s="29">
        <f>IF(Y18=11,$G$25-$G$26*W18/100,V17-$G$26*W18/100)</f>
        <v>68.563636363636363</v>
      </c>
      <c r="W18" s="18">
        <f t="shared" si="5"/>
        <v>1.3181818181818181</v>
      </c>
      <c r="X18" s="21">
        <f t="shared" si="6"/>
        <v>19.063636363636363</v>
      </c>
      <c r="Y18" s="28">
        <v>8</v>
      </c>
      <c r="Z18" s="18">
        <f t="shared" si="0"/>
        <v>0</v>
      </c>
      <c r="AA18" s="29">
        <f t="shared" si="11"/>
        <v>0</v>
      </c>
      <c r="AB18" s="22">
        <f t="shared" si="7"/>
        <v>0</v>
      </c>
      <c r="AC18" s="22">
        <f t="shared" si="8"/>
        <v>11.747922008046672</v>
      </c>
      <c r="AD18" s="22">
        <f t="shared" si="9"/>
        <v>-11.747922008046672</v>
      </c>
      <c r="AE18" s="22">
        <f t="shared" si="10"/>
        <v>19.063636363636363</v>
      </c>
    </row>
    <row r="19" spans="2:32" x14ac:dyDescent="0.25">
      <c r="O19" s="234">
        <v>0</v>
      </c>
      <c r="P19" s="260">
        <f t="shared" si="1"/>
        <v>9</v>
      </c>
      <c r="Q19" s="261">
        <f t="shared" si="2"/>
        <v>1.9</v>
      </c>
      <c r="R19" s="210">
        <f t="shared" si="3"/>
        <v>9.1772727272727224</v>
      </c>
      <c r="S19" s="173">
        <f t="shared" si="4"/>
        <v>0</v>
      </c>
      <c r="T19" s="28">
        <v>1.45</v>
      </c>
      <c r="U19" s="28">
        <v>0</v>
      </c>
      <c r="V19" s="29">
        <f>IF(Y19=11,$G$25-$G$26*W19/100,V18-$G$26*W19/100)</f>
        <v>58.677272727272722</v>
      </c>
      <c r="W19" s="18">
        <f t="shared" si="5"/>
        <v>1.3181818181818181</v>
      </c>
      <c r="X19" s="21">
        <f t="shared" si="6"/>
        <v>9.1772727272727224</v>
      </c>
      <c r="Y19" s="28">
        <v>7</v>
      </c>
      <c r="Z19" s="18">
        <f t="shared" si="0"/>
        <v>0</v>
      </c>
      <c r="AA19" s="29">
        <f t="shared" si="11"/>
        <v>0</v>
      </c>
      <c r="AB19" s="22">
        <f t="shared" si="7"/>
        <v>0</v>
      </c>
      <c r="AC19" s="22">
        <f t="shared" si="8"/>
        <v>11.747922008046672</v>
      </c>
      <c r="AD19" s="22">
        <f t="shared" si="9"/>
        <v>-11.747922008046672</v>
      </c>
      <c r="AE19" s="22">
        <f t="shared" si="10"/>
        <v>9.1772727272727224</v>
      </c>
    </row>
    <row r="20" spans="2:32" x14ac:dyDescent="0.25">
      <c r="O20" s="234">
        <v>0</v>
      </c>
      <c r="P20" s="260">
        <f t="shared" si="1"/>
        <v>-0.7</v>
      </c>
      <c r="Q20" s="261">
        <f t="shared" si="2"/>
        <v>-0.1</v>
      </c>
      <c r="R20" s="210">
        <f t="shared" si="3"/>
        <v>-0.70909090909091788</v>
      </c>
      <c r="S20" s="173">
        <f t="shared" si="4"/>
        <v>0</v>
      </c>
      <c r="T20" s="28">
        <v>1.45</v>
      </c>
      <c r="U20" s="28">
        <v>0</v>
      </c>
      <c r="V20" s="29">
        <f>IF(Y20=11,$G$25-$G$26*W20/100,V19-$G$26*W20/100)</f>
        <v>48.790909090909082</v>
      </c>
      <c r="W20" s="18">
        <f t="shared" si="5"/>
        <v>1.3181818181818181</v>
      </c>
      <c r="X20" s="21">
        <f t="shared" si="6"/>
        <v>-0.70909090909091788</v>
      </c>
      <c r="Y20" s="28">
        <v>6</v>
      </c>
      <c r="Z20" s="18">
        <f t="shared" si="0"/>
        <v>0</v>
      </c>
      <c r="AA20" s="29">
        <f t="shared" si="11"/>
        <v>0</v>
      </c>
      <c r="AB20" s="22">
        <f t="shared" si="7"/>
        <v>0</v>
      </c>
      <c r="AC20" s="22">
        <f t="shared" si="8"/>
        <v>11.747922008046672</v>
      </c>
      <c r="AD20" s="22">
        <f t="shared" si="9"/>
        <v>-11.747922008046672</v>
      </c>
      <c r="AE20" s="22">
        <f t="shared" si="10"/>
        <v>0.70909090909091788</v>
      </c>
    </row>
    <row r="21" spans="2:32" x14ac:dyDescent="0.25">
      <c r="O21" s="234">
        <v>0</v>
      </c>
      <c r="P21" s="260">
        <f t="shared" si="1"/>
        <v>-10.4</v>
      </c>
      <c r="Q21" s="261">
        <f t="shared" si="2"/>
        <v>-2.2000000000000002</v>
      </c>
      <c r="R21" s="210">
        <f t="shared" si="3"/>
        <v>-10.595454545454558</v>
      </c>
      <c r="S21" s="173">
        <f t="shared" si="4"/>
        <v>0</v>
      </c>
      <c r="T21" s="28">
        <v>1.45</v>
      </c>
      <c r="U21" s="28">
        <v>0</v>
      </c>
      <c r="V21" s="29">
        <f>IF(Y21=11,$G$25-$G$26*W21/100,V20-$G$26*W21/100)</f>
        <v>38.904545454545442</v>
      </c>
      <c r="W21" s="18">
        <f t="shared" si="5"/>
        <v>1.3181818181818181</v>
      </c>
      <c r="X21" s="21">
        <f t="shared" si="6"/>
        <v>-10.595454545454558</v>
      </c>
      <c r="Y21" s="28">
        <v>5</v>
      </c>
      <c r="Z21" s="18">
        <f t="shared" si="0"/>
        <v>0</v>
      </c>
      <c r="AA21" s="29">
        <f t="shared" si="11"/>
        <v>0</v>
      </c>
      <c r="AB21" s="22">
        <f t="shared" si="7"/>
        <v>0</v>
      </c>
      <c r="AC21" s="22">
        <f t="shared" si="8"/>
        <v>11.747922008046672</v>
      </c>
      <c r="AD21" s="22">
        <f t="shared" si="9"/>
        <v>-11.747922008046672</v>
      </c>
      <c r="AE21" s="22">
        <f t="shared" si="10"/>
        <v>10.595454545454558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-20.100000000000001</v>
      </c>
      <c r="Q22" s="261">
        <f t="shared" si="2"/>
        <v>-4.2</v>
      </c>
      <c r="R22" s="210">
        <f t="shared" si="3"/>
        <v>-20.481818181818195</v>
      </c>
      <c r="S22" s="173">
        <f t="shared" si="4"/>
        <v>0</v>
      </c>
      <c r="T22" s="28">
        <v>1.45</v>
      </c>
      <c r="U22" s="28">
        <v>0</v>
      </c>
      <c r="V22" s="29">
        <f>IF(Y22=11,$G$25-$G$26*W22/100,V21-$G$26*W22/100)</f>
        <v>29.018181818181805</v>
      </c>
      <c r="W22" s="18">
        <f t="shared" si="5"/>
        <v>1.3181818181818181</v>
      </c>
      <c r="X22" s="21">
        <f t="shared" si="6"/>
        <v>-20.481818181818195</v>
      </c>
      <c r="Y22" s="28">
        <v>4</v>
      </c>
      <c r="Z22" s="18">
        <f t="shared" si="0"/>
        <v>0</v>
      </c>
      <c r="AA22" s="29">
        <f t="shared" si="11"/>
        <v>0</v>
      </c>
      <c r="AB22" s="22">
        <f t="shared" si="7"/>
        <v>0</v>
      </c>
      <c r="AC22" s="22">
        <f t="shared" si="8"/>
        <v>11.747922008046672</v>
      </c>
      <c r="AD22" s="22">
        <f t="shared" si="9"/>
        <v>-11.747922008046672</v>
      </c>
      <c r="AE22" s="22">
        <f t="shared" si="10"/>
        <v>20.481818181818195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67">
        <f>B26</f>
        <v>0.75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-29.7</v>
      </c>
      <c r="Q23" s="261">
        <f t="shared" si="2"/>
        <v>-6.2</v>
      </c>
      <c r="R23" s="210">
        <f t="shared" si="3"/>
        <v>-30.368181818181831</v>
      </c>
      <c r="S23" s="173">
        <f t="shared" si="4"/>
        <v>0</v>
      </c>
      <c r="T23" s="28">
        <v>1.45</v>
      </c>
      <c r="U23" s="28">
        <v>0</v>
      </c>
      <c r="V23" s="29">
        <f>IF(Y23=11,$G$25-$G$26*W23/100,V22-$G$26*W23/100)</f>
        <v>19.131818181818169</v>
      </c>
      <c r="W23" s="18">
        <f t="shared" si="5"/>
        <v>1.3181818181818181</v>
      </c>
      <c r="X23" s="21">
        <f t="shared" si="6"/>
        <v>-30.368181818181831</v>
      </c>
      <c r="Y23" s="28">
        <v>3</v>
      </c>
      <c r="Z23" s="18">
        <f t="shared" si="0"/>
        <v>0</v>
      </c>
      <c r="AA23" s="29">
        <f t="shared" si="11"/>
        <v>0</v>
      </c>
      <c r="AB23" s="22">
        <f t="shared" si="7"/>
        <v>0</v>
      </c>
      <c r="AC23" s="22">
        <f t="shared" si="8"/>
        <v>11.747922008046672</v>
      </c>
      <c r="AD23" s="22">
        <f t="shared" si="9"/>
        <v>-11.747922008046672</v>
      </c>
      <c r="AE23" s="22">
        <f t="shared" si="10"/>
        <v>30.368181818181831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D26+I24</f>
        <v>11.747922008046672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-39.4</v>
      </c>
      <c r="Q24" s="261">
        <f t="shared" si="2"/>
        <v>-8.1999999999999993</v>
      </c>
      <c r="R24" s="210">
        <f t="shared" si="3"/>
        <v>-40.254545454545465</v>
      </c>
      <c r="S24" s="173">
        <f t="shared" si="4"/>
        <v>0</v>
      </c>
      <c r="T24" s="28">
        <v>1.45</v>
      </c>
      <c r="U24" s="28">
        <v>0</v>
      </c>
      <c r="V24" s="29">
        <f>IF(Y24=11,$G$25-$G$26*W24/100,V23-$G$26*W24/100)</f>
        <v>9.2454545454545318</v>
      </c>
      <c r="W24" s="18">
        <f t="shared" si="5"/>
        <v>1.3181818181818181</v>
      </c>
      <c r="X24" s="21">
        <f t="shared" si="6"/>
        <v>-40.254545454545465</v>
      </c>
      <c r="Y24" s="28">
        <v>2</v>
      </c>
      <c r="Z24" s="18">
        <f t="shared" si="0"/>
        <v>0</v>
      </c>
      <c r="AA24" s="29">
        <f t="shared" si="11"/>
        <v>0</v>
      </c>
      <c r="AB24" s="22">
        <f t="shared" si="7"/>
        <v>0</v>
      </c>
      <c r="AC24" s="22">
        <f t="shared" si="8"/>
        <v>11.747922008046672</v>
      </c>
      <c r="AD24" s="22">
        <f t="shared" si="9"/>
        <v>-11.747922008046672</v>
      </c>
      <c r="AE24" s="22">
        <f t="shared" si="10"/>
        <v>40.254545454545465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156">
        <f>ROUND((G26*G27/100)*(G22/16.5),0)</f>
        <v>99</v>
      </c>
      <c r="O25" s="234">
        <v>0</v>
      </c>
      <c r="P25" s="262">
        <f>P49</f>
        <v>-48.843489926800416</v>
      </c>
      <c r="Q25" s="263">
        <f>Q49</f>
        <v>-8.2494602900026148</v>
      </c>
      <c r="R25" s="210">
        <f t="shared" si="3"/>
        <v>-49.499999999999993</v>
      </c>
      <c r="S25" s="173">
        <f t="shared" si="4"/>
        <v>1.8681818181818184</v>
      </c>
      <c r="T25" s="23"/>
      <c r="U25" s="24">
        <v>0.11</v>
      </c>
      <c r="V25" s="25">
        <v>0</v>
      </c>
      <c r="W25" s="23"/>
      <c r="X25" s="21">
        <f t="shared" si="6"/>
        <v>-49.5</v>
      </c>
      <c r="Y25" s="26">
        <v>1</v>
      </c>
      <c r="Z25" s="18">
        <f t="shared" si="0"/>
        <v>9.9999999999999992E-2</v>
      </c>
      <c r="AA25" s="25">
        <f>AA4-(-AA24+AA4)/2</f>
        <v>1.8681818181818184</v>
      </c>
      <c r="AB25" s="22">
        <f>DEGREES(ATAN(AA25/(ABS(X25))))</f>
        <v>2.161376875281102</v>
      </c>
      <c r="AC25" s="22">
        <f t="shared" si="8"/>
        <v>13.909298883327773</v>
      </c>
      <c r="AD25" s="22">
        <f t="shared" si="9"/>
        <v>-9.5865451327655702</v>
      </c>
      <c r="AE25" s="22">
        <f t="shared" si="10"/>
        <v>49.535241024000122</v>
      </c>
      <c r="AF25" s="201" t="s">
        <v>24</v>
      </c>
    </row>
    <row r="26" spans="2:32" ht="15.75" x14ac:dyDescent="0.25">
      <c r="B26" s="157">
        <f>'Мощ-Диаметр-Ширина-Шаг-Угол'!T20</f>
        <v>0.75</v>
      </c>
      <c r="C26" s="158">
        <f>'Мощ-Диаметр-Ширина-Шаг-Угол'!U20</f>
        <v>562.5</v>
      </c>
      <c r="D26" s="158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47.850909491300456</v>
      </c>
      <c r="Q26" s="237">
        <f>Q36</f>
        <v>13.022342970214094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153">
        <v>14.5</v>
      </c>
      <c r="O27" s="235"/>
      <c r="P27" s="237">
        <f>P49</f>
        <v>-48.843489926800416</v>
      </c>
      <c r="Q27" s="237">
        <f>Q49</f>
        <v>-8.2494602900026148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47.850909491300456</v>
      </c>
      <c r="Q36" s="236">
        <f t="shared" ref="Q36:Q53" si="13">IF(R36&lt;0,AE36*SIN(RADIANS(AD36)),AE36*SIN(RADIANS($AC36)))+O36</f>
        <v>13.022342970214094</v>
      </c>
      <c r="R36" s="224">
        <f t="shared" si="3"/>
        <v>49.5</v>
      </c>
      <c r="S36" s="225">
        <f t="shared" si="4"/>
        <v>3.0068181818181818</v>
      </c>
      <c r="T36" s="202"/>
      <c r="U36" s="202"/>
      <c r="V36" s="202"/>
      <c r="W36" s="202"/>
      <c r="X36" s="203">
        <f>$AG$36*COS(RADIANS($AF36))+$R$14-$AG$36</f>
        <v>49.5</v>
      </c>
      <c r="Y36" s="204"/>
      <c r="Z36" s="204"/>
      <c r="AA36" s="203">
        <f>$S$14+($AG$36*SIN(RADIANS($AF36)))</f>
        <v>3.0068181818181818</v>
      </c>
      <c r="AB36" s="205">
        <f t="shared" ref="AB36:AB53" si="14">DEGREES(ATAN(AA36/(ABS(X36))))</f>
        <v>3.4760922922116464</v>
      </c>
      <c r="AC36" s="205">
        <f t="shared" ref="AC36:AC53" si="15">DEGREES(ATAN(AA36/(ABS(X36))))+$G$24</f>
        <v>15.224014300258318</v>
      </c>
      <c r="AD36" s="205">
        <f t="shared" ref="AD36:AD53" si="16">DEGREES(ATAN(AA36/(ABS(X36))))-$G$24</f>
        <v>-8.2718297158350254</v>
      </c>
      <c r="AE36" s="205">
        <f t="shared" ref="AE36:AE53" si="17">SQRT(AA36*AA36+X36*X36)</f>
        <v>49.59123869776306</v>
      </c>
      <c r="AF36" s="206">
        <v>0</v>
      </c>
      <c r="AG36" s="207">
        <f>ROUND($Z$14*$G$26/100,1)</f>
        <v>1.1000000000000001</v>
      </c>
      <c r="AI36" s="201"/>
    </row>
    <row r="37" spans="15:35" ht="18" customHeight="1" x14ac:dyDescent="0.25">
      <c r="O37" s="232"/>
      <c r="P37" s="236">
        <f t="shared" si="12"/>
        <v>47.377107263434738</v>
      </c>
      <c r="Q37" s="236">
        <f t="shared" si="13"/>
        <v>13.718268999615235</v>
      </c>
      <c r="R37" s="226">
        <f t="shared" si="3"/>
        <v>49.177817459305203</v>
      </c>
      <c r="S37" s="227">
        <f t="shared" si="4"/>
        <v>3.7846356411233839</v>
      </c>
      <c r="T37" s="3"/>
      <c r="U37" s="3"/>
      <c r="V37" s="3"/>
      <c r="W37" s="3"/>
      <c r="X37" s="208">
        <f>$AG$36*COS(RADIANS($AF37))+$R$14-$AG$36</f>
        <v>49.177817459305203</v>
      </c>
      <c r="Y37" s="209"/>
      <c r="Z37" s="209"/>
      <c r="AA37" s="208">
        <f>$S$14+($AG$36*SIN(RADIANS($AF37)))</f>
        <v>3.7846356411233844</v>
      </c>
      <c r="AB37" s="210">
        <f t="shared" si="14"/>
        <v>4.4007051394700243</v>
      </c>
      <c r="AC37" s="210">
        <f t="shared" si="15"/>
        <v>16.148627147516695</v>
      </c>
      <c r="AD37" s="210">
        <f t="shared" si="16"/>
        <v>-7.3472168685766475</v>
      </c>
      <c r="AE37" s="210">
        <f t="shared" si="17"/>
        <v>49.323231818249752</v>
      </c>
      <c r="AF37" s="211">
        <v>45</v>
      </c>
      <c r="AG37" s="212" t="str">
        <f>CONCATENATE("r1=",$AG$36)</f>
        <v>r1=1,1</v>
      </c>
      <c r="AH37" s="201"/>
      <c r="AI37" s="201"/>
    </row>
    <row r="38" spans="15:35" ht="18" customHeight="1" x14ac:dyDescent="0.25">
      <c r="O38" s="232"/>
      <c r="P38" s="236">
        <f t="shared" si="12"/>
        <v>46.549984480575823</v>
      </c>
      <c r="Q38" s="236">
        <f>IF(R38&lt;0,AE38*SIN(RADIANS(AD38)),AE38*SIN(RADIANS($AC38)))+O38</f>
        <v>13.875334245943867</v>
      </c>
      <c r="R38" s="226">
        <f t="shared" si="3"/>
        <v>48.4</v>
      </c>
      <c r="S38" s="227">
        <f t="shared" si="4"/>
        <v>4.1068181818181824</v>
      </c>
      <c r="T38" s="3"/>
      <c r="U38" s="3"/>
      <c r="V38" s="3"/>
      <c r="W38" s="3"/>
      <c r="X38" s="208">
        <f>$AG$36*COS(RADIANS($AF38))+$R$14-$AG$36</f>
        <v>48.4</v>
      </c>
      <c r="Y38" s="209"/>
      <c r="Z38" s="209"/>
      <c r="AA38" s="208">
        <f>$S$14+($AG$36*SIN(RADIANS($AF38)))</f>
        <v>4.1068181818181824</v>
      </c>
      <c r="AB38" s="210">
        <f t="shared" si="14"/>
        <v>4.8500219828790136</v>
      </c>
      <c r="AC38" s="210">
        <f t="shared" si="15"/>
        <v>16.597943990925685</v>
      </c>
      <c r="AD38" s="210">
        <f t="shared" si="16"/>
        <v>-6.8979000251676581</v>
      </c>
      <c r="AE38" s="210">
        <f t="shared" si="17"/>
        <v>48.573922587933048</v>
      </c>
      <c r="AF38" s="211">
        <v>90</v>
      </c>
      <c r="AG38" s="213"/>
    </row>
    <row r="39" spans="15:35" x14ac:dyDescent="0.25">
      <c r="O39" s="232"/>
      <c r="P39" s="236">
        <f t="shared" si="12"/>
        <v>45.854058451174673</v>
      </c>
      <c r="Q39" s="236">
        <f t="shared" si="13"/>
        <v>13.401532018078148</v>
      </c>
      <c r="R39" s="226">
        <f t="shared" si="3"/>
        <v>47.622182540694787</v>
      </c>
      <c r="S39" s="227">
        <f t="shared" si="4"/>
        <v>3.7846356411233844</v>
      </c>
      <c r="T39" s="3"/>
      <c r="U39" s="3"/>
      <c r="V39" s="3"/>
      <c r="W39" s="3"/>
      <c r="X39" s="208">
        <f>$AG$36*COS(RADIANS($AF39))+$R$14-$AG$36</f>
        <v>47.622182540694794</v>
      </c>
      <c r="Y39" s="209"/>
      <c r="Z39" s="209"/>
      <c r="AA39" s="208">
        <f>$S$14+($AG$36*SIN(RADIANS($AF39)))</f>
        <v>3.7846356411233844</v>
      </c>
      <c r="AB39" s="210">
        <f t="shared" si="14"/>
        <v>4.5438668477947477</v>
      </c>
      <c r="AC39" s="210">
        <f t="shared" si="15"/>
        <v>16.291788855841418</v>
      </c>
      <c r="AD39" s="210">
        <f t="shared" si="16"/>
        <v>-7.2040551602519241</v>
      </c>
      <c r="AE39" s="210">
        <f t="shared" si="17"/>
        <v>47.77233233656608</v>
      </c>
      <c r="AF39" s="211">
        <v>135</v>
      </c>
      <c r="AG39" s="213"/>
    </row>
    <row r="40" spans="15:35" x14ac:dyDescent="0.25">
      <c r="O40" s="232"/>
      <c r="P40" s="236">
        <f t="shared" si="12"/>
        <v>45.696993204846038</v>
      </c>
      <c r="Q40" s="236">
        <f t="shared" si="13"/>
        <v>12.57440923521923</v>
      </c>
      <c r="R40" s="226">
        <f t="shared" si="3"/>
        <v>47.29999999999999</v>
      </c>
      <c r="S40" s="227">
        <f t="shared" si="4"/>
        <v>3.0068181818181814</v>
      </c>
      <c r="T40" s="3"/>
      <c r="U40" s="3"/>
      <c r="V40" s="3"/>
      <c r="W40" s="3"/>
      <c r="X40" s="208">
        <f>$AG$36*COS(RADIANS($AF40))+$R$14-$AG$36</f>
        <v>47.3</v>
      </c>
      <c r="Y40" s="209"/>
      <c r="Z40" s="209"/>
      <c r="AA40" s="208">
        <f>$S$14+($AG$36*SIN(RADIANS($AF40)))</f>
        <v>3.0068181818181818</v>
      </c>
      <c r="AB40" s="210">
        <f t="shared" si="14"/>
        <v>3.6373465634930038</v>
      </c>
      <c r="AC40" s="210">
        <f t="shared" si="15"/>
        <v>15.385268571539676</v>
      </c>
      <c r="AD40" s="210">
        <f t="shared" si="16"/>
        <v>-8.1105754445536675</v>
      </c>
      <c r="AE40" s="210">
        <f t="shared" si="17"/>
        <v>47.395473998880014</v>
      </c>
      <c r="AF40" s="211">
        <v>180</v>
      </c>
      <c r="AG40" s="213"/>
    </row>
    <row r="41" spans="15:35" x14ac:dyDescent="0.25">
      <c r="O41" s="232"/>
      <c r="P41" s="236">
        <f t="shared" si="12"/>
        <v>46.170795432711756</v>
      </c>
      <c r="Q41" s="236">
        <f t="shared" si="13"/>
        <v>11.878483205818091</v>
      </c>
      <c r="R41" s="226">
        <f t="shared" si="3"/>
        <v>47.622182540694794</v>
      </c>
      <c r="S41" s="227">
        <f t="shared" si="4"/>
        <v>2.2290007225129793</v>
      </c>
      <c r="T41" s="3"/>
      <c r="U41" s="3"/>
      <c r="V41" s="3"/>
      <c r="W41" s="3"/>
      <c r="X41" s="208">
        <f>$AG$36*COS(RADIANS($AF41))+$R$14-$AG$36</f>
        <v>47.622182540694794</v>
      </c>
      <c r="Y41" s="209"/>
      <c r="Z41" s="209"/>
      <c r="AA41" s="208">
        <f>$S$14+($AG$36*SIN(RADIANS($AF41)))</f>
        <v>2.2290007225129793</v>
      </c>
      <c r="AB41" s="210">
        <f t="shared" si="14"/>
        <v>2.6798266198345662</v>
      </c>
      <c r="AC41" s="210">
        <f t="shared" si="15"/>
        <v>14.427748627881238</v>
      </c>
      <c r="AD41" s="210">
        <f t="shared" si="16"/>
        <v>-9.0680953882121056</v>
      </c>
      <c r="AE41" s="210">
        <f t="shared" si="17"/>
        <v>47.674319231219435</v>
      </c>
      <c r="AF41" s="211">
        <v>-135</v>
      </c>
      <c r="AG41" s="213"/>
    </row>
    <row r="42" spans="15:35" x14ac:dyDescent="0.25">
      <c r="O42" s="232"/>
      <c r="P42" s="236">
        <f t="shared" si="12"/>
        <v>46.997918215570678</v>
      </c>
      <c r="Q42" s="236">
        <f t="shared" si="13"/>
        <v>11.721417959489457</v>
      </c>
      <c r="R42" s="226">
        <f t="shared" si="3"/>
        <v>48.4</v>
      </c>
      <c r="S42" s="227">
        <f t="shared" si="4"/>
        <v>1.906818181818182</v>
      </c>
      <c r="T42" s="3"/>
      <c r="U42" s="3"/>
      <c r="V42" s="3"/>
      <c r="W42" s="3"/>
      <c r="X42" s="208">
        <f>$AG$36*COS(RADIANS($AF42))+$R$14-$AG$36</f>
        <v>48.4</v>
      </c>
      <c r="Y42" s="209"/>
      <c r="Z42" s="209"/>
      <c r="AA42" s="208">
        <f>$S$14+($AG$36*SIN(RADIANS($AF42)))</f>
        <v>1.9068181818181817</v>
      </c>
      <c r="AB42" s="210">
        <f t="shared" si="14"/>
        <v>2.2561190489151426</v>
      </c>
      <c r="AC42" s="210">
        <f t="shared" si="15"/>
        <v>14.004041056961814</v>
      </c>
      <c r="AD42" s="210">
        <f t="shared" si="16"/>
        <v>-9.4918029591315296</v>
      </c>
      <c r="AE42" s="210">
        <f t="shared" si="17"/>
        <v>48.437546960787685</v>
      </c>
      <c r="AF42" s="211">
        <v>-90</v>
      </c>
      <c r="AG42" s="213"/>
    </row>
    <row r="43" spans="15:35" x14ac:dyDescent="0.25">
      <c r="O43" s="232"/>
      <c r="P43" s="236">
        <f t="shared" si="12"/>
        <v>47.693844244971821</v>
      </c>
      <c r="Q43" s="236">
        <f t="shared" si="13"/>
        <v>12.195220187355176</v>
      </c>
      <c r="R43" s="226">
        <f t="shared" si="3"/>
        <v>49.177817459305196</v>
      </c>
      <c r="S43" s="227">
        <f t="shared" si="4"/>
        <v>2.2290007225129798</v>
      </c>
      <c r="T43" s="3"/>
      <c r="U43" s="3"/>
      <c r="V43" s="3"/>
      <c r="W43" s="3"/>
      <c r="X43" s="208">
        <f>$AG$36*COS(RADIANS($AF43))+$R$14-$AG$36</f>
        <v>49.177817459305203</v>
      </c>
      <c r="Y43" s="209"/>
      <c r="Z43" s="209"/>
      <c r="AA43" s="208">
        <f>$S$14+($AG$36*SIN(RADIANS($AF43)))</f>
        <v>2.2290007225129793</v>
      </c>
      <c r="AB43" s="210">
        <f t="shared" si="14"/>
        <v>2.5951738280583285</v>
      </c>
      <c r="AC43" s="210">
        <f t="shared" si="15"/>
        <v>14.343095836105</v>
      </c>
      <c r="AD43" s="210">
        <f t="shared" si="16"/>
        <v>-9.1527481799883432</v>
      </c>
      <c r="AE43" s="210">
        <f t="shared" si="17"/>
        <v>49.228306636341927</v>
      </c>
      <c r="AF43" s="211">
        <v>-45</v>
      </c>
      <c r="AG43" s="213"/>
    </row>
    <row r="44" spans="15:35" x14ac:dyDescent="0.25">
      <c r="O44" s="232"/>
      <c r="P44" s="236">
        <f t="shared" si="12"/>
        <v>47.850909491300456</v>
      </c>
      <c r="Q44" s="236">
        <f t="shared" si="13"/>
        <v>13.022342970214094</v>
      </c>
      <c r="R44" s="228">
        <f t="shared" si="3"/>
        <v>49.5</v>
      </c>
      <c r="S44" s="229">
        <f t="shared" si="4"/>
        <v>3.0068181818181818</v>
      </c>
      <c r="T44" s="214"/>
      <c r="U44" s="214"/>
      <c r="V44" s="214"/>
      <c r="W44" s="214"/>
      <c r="X44" s="215">
        <f>$AG$36*COS(RADIANS($AF44))+$R$14-$AG$36</f>
        <v>49.5</v>
      </c>
      <c r="Y44" s="216"/>
      <c r="Z44" s="216"/>
      <c r="AA44" s="215">
        <f>$S$14+($AG$36*SIN(RADIANS($AF44)))</f>
        <v>3.0068181818181818</v>
      </c>
      <c r="AB44" s="217">
        <f t="shared" si="14"/>
        <v>3.4760922922116464</v>
      </c>
      <c r="AC44" s="217">
        <f t="shared" si="15"/>
        <v>15.224014300258318</v>
      </c>
      <c r="AD44" s="217">
        <f t="shared" si="16"/>
        <v>-8.2718297158350254</v>
      </c>
      <c r="AE44" s="217">
        <f t="shared" si="17"/>
        <v>49.59123869776306</v>
      </c>
      <c r="AF44" s="218">
        <v>0</v>
      </c>
      <c r="AG44" s="219"/>
    </row>
    <row r="45" spans="15:35" x14ac:dyDescent="0.25">
      <c r="O45" s="232"/>
      <c r="P45" s="236">
        <f t="shared" si="12"/>
        <v>-47.277005354833584</v>
      </c>
      <c r="Q45" s="236">
        <f t="shared" si="13"/>
        <v>-7.923690300915446</v>
      </c>
      <c r="R45" s="224">
        <f t="shared" si="3"/>
        <v>-47.9</v>
      </c>
      <c r="S45" s="225">
        <f t="shared" si="4"/>
        <v>1.8681818181818184</v>
      </c>
      <c r="T45" s="202"/>
      <c r="U45" s="202"/>
      <c r="V45" s="202"/>
      <c r="W45" s="202"/>
      <c r="X45" s="203">
        <f>$AG$45*COS(RADIANS(AF45))+$R$25+$AG$45</f>
        <v>-47.9</v>
      </c>
      <c r="Y45" s="220"/>
      <c r="Z45" s="220"/>
      <c r="AA45" s="203">
        <f>$S$25+($AG$45*SIN(RADIANS($AF45)))</f>
        <v>1.8681818181818184</v>
      </c>
      <c r="AB45" s="205">
        <f t="shared" si="14"/>
        <v>2.2335012428471979</v>
      </c>
      <c r="AC45" s="205">
        <f t="shared" si="15"/>
        <v>13.981423250893869</v>
      </c>
      <c r="AD45" s="205">
        <f t="shared" si="16"/>
        <v>-9.5144207651994748</v>
      </c>
      <c r="AE45" s="205">
        <f t="shared" si="17"/>
        <v>47.936417297351134</v>
      </c>
      <c r="AF45" s="206">
        <v>0</v>
      </c>
      <c r="AG45" s="207">
        <f>ROUND($Z$25*$G$26/100,1)</f>
        <v>0.8</v>
      </c>
    </row>
    <row r="46" spans="15:35" x14ac:dyDescent="0.25">
      <c r="O46" s="232"/>
      <c r="P46" s="236">
        <f t="shared" si="12"/>
        <v>-47.621588793281376</v>
      </c>
      <c r="Q46" s="236">
        <f t="shared" si="13"/>
        <v>-7.4175622795327971</v>
      </c>
      <c r="R46" s="226">
        <f t="shared" si="3"/>
        <v>-48.134314575050759</v>
      </c>
      <c r="S46" s="227">
        <f t="shared" si="4"/>
        <v>2.4338672431310568</v>
      </c>
      <c r="T46" s="3"/>
      <c r="U46" s="3"/>
      <c r="V46" s="3"/>
      <c r="W46" s="3"/>
      <c r="X46" s="208">
        <f>$AG$45*COS(RADIANS(AF46))+$R$25+$AG$45</f>
        <v>-48.134314575050759</v>
      </c>
      <c r="Y46" s="221"/>
      <c r="Z46" s="221"/>
      <c r="AA46" s="208">
        <f>$S$25+($AG$45*SIN(RADIANS($AF46)))</f>
        <v>2.4338672431310564</v>
      </c>
      <c r="AB46" s="210">
        <f t="shared" si="14"/>
        <v>2.8946430154277878</v>
      </c>
      <c r="AC46" s="210">
        <f t="shared" si="15"/>
        <v>14.642565023474459</v>
      </c>
      <c r="AD46" s="210">
        <f t="shared" si="16"/>
        <v>-8.8532789926188844</v>
      </c>
      <c r="AE46" s="210">
        <f t="shared" si="17"/>
        <v>48.19580842113897</v>
      </c>
      <c r="AF46" s="211">
        <v>45</v>
      </c>
      <c r="AG46" s="212" t="str">
        <f>CONCATENATE("r2=",$AG$45)</f>
        <v>r2=0,8</v>
      </c>
    </row>
    <row r="47" spans="15:35" x14ac:dyDescent="0.25">
      <c r="O47" s="232"/>
      <c r="P47" s="236">
        <f t="shared" si="12"/>
        <v>-48.223132635360592</v>
      </c>
      <c r="Q47" s="236">
        <f t="shared" si="13"/>
        <v>-7.303333009475609</v>
      </c>
      <c r="R47" s="226">
        <f t="shared" si="3"/>
        <v>-48.699999999999996</v>
      </c>
      <c r="S47" s="227">
        <f t="shared" si="4"/>
        <v>2.6681818181818184</v>
      </c>
      <c r="T47" s="3"/>
      <c r="U47" s="3"/>
      <c r="V47" s="3"/>
      <c r="W47" s="3"/>
      <c r="X47" s="208">
        <f>$AG$45*COS(RADIANS(AF47))+$R$25+$AG$45</f>
        <v>-48.699999999999996</v>
      </c>
      <c r="Y47" s="221"/>
      <c r="Z47" s="221"/>
      <c r="AA47" s="208">
        <f>$S$25+($AG$45*SIN(RADIANS($AF47)))</f>
        <v>2.6681818181818184</v>
      </c>
      <c r="AB47" s="210">
        <f t="shared" si="14"/>
        <v>3.1359931805018721</v>
      </c>
      <c r="AC47" s="210">
        <f t="shared" si="15"/>
        <v>14.883915188548544</v>
      </c>
      <c r="AD47" s="210">
        <f t="shared" si="16"/>
        <v>-8.6119288275447996</v>
      </c>
      <c r="AE47" s="210">
        <f t="shared" si="17"/>
        <v>48.773037574205645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-48.729260656743236</v>
      </c>
      <c r="Q48" s="236">
        <f t="shared" si="13"/>
        <v>-7.6479164479234045</v>
      </c>
      <c r="R48" s="226">
        <f t="shared" si="3"/>
        <v>-49.265685424949233</v>
      </c>
      <c r="S48" s="227">
        <f t="shared" si="4"/>
        <v>2.4338672431310564</v>
      </c>
      <c r="T48" s="3"/>
      <c r="U48" s="3"/>
      <c r="V48" s="3"/>
      <c r="W48" s="3"/>
      <c r="X48" s="208">
        <f>$AG$45*COS(RADIANS(AF48))+$R$25+$AG$45</f>
        <v>-49.265685424949233</v>
      </c>
      <c r="Y48" s="221"/>
      <c r="Z48" s="221"/>
      <c r="AA48" s="208">
        <f>$S$25+($AG$45*SIN(RADIANS($AF48)))</f>
        <v>2.4338672431310564</v>
      </c>
      <c r="AB48" s="210">
        <f t="shared" si="14"/>
        <v>2.8282776534615275</v>
      </c>
      <c r="AC48" s="210">
        <f t="shared" si="15"/>
        <v>14.576199661508198</v>
      </c>
      <c r="AD48" s="210">
        <f t="shared" si="16"/>
        <v>-8.9196443545851452</v>
      </c>
      <c r="AE48" s="210">
        <f t="shared" si="17"/>
        <v>49.325768824694883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-48.843489926800416</v>
      </c>
      <c r="Q49" s="236">
        <f t="shared" si="13"/>
        <v>-8.2494602900026148</v>
      </c>
      <c r="R49" s="226">
        <f t="shared" si="3"/>
        <v>-49.499999999999986</v>
      </c>
      <c r="S49" s="227">
        <f t="shared" si="4"/>
        <v>1.8681818181818184</v>
      </c>
      <c r="T49" s="3"/>
      <c r="U49" s="3"/>
      <c r="V49" s="3"/>
      <c r="W49" s="3"/>
      <c r="X49" s="208">
        <f>$AG$45*COS(RADIANS(AF49))+$R$25+$AG$45</f>
        <v>-49.499999999999993</v>
      </c>
      <c r="Y49" s="221"/>
      <c r="Z49" s="221"/>
      <c r="AA49" s="208">
        <f>$S$25+($AG$45*SIN(RADIANS($AF49)))</f>
        <v>1.8681818181818184</v>
      </c>
      <c r="AB49" s="210">
        <f t="shared" si="14"/>
        <v>2.1613768752811024</v>
      </c>
      <c r="AC49" s="210">
        <f t="shared" si="15"/>
        <v>13.909298883327775</v>
      </c>
      <c r="AD49" s="210">
        <f t="shared" si="16"/>
        <v>-9.5865451327655684</v>
      </c>
      <c r="AE49" s="210">
        <f t="shared" si="17"/>
        <v>49.535241024000115</v>
      </c>
      <c r="AF49" s="211">
        <v>180</v>
      </c>
      <c r="AG49" s="213"/>
    </row>
    <row r="50" spans="15:33" x14ac:dyDescent="0.25">
      <c r="O50" s="232"/>
      <c r="P50" s="236">
        <f t="shared" si="12"/>
        <v>-48.498906488352631</v>
      </c>
      <c r="Q50" s="236">
        <f t="shared" si="13"/>
        <v>-8.7555883113852655</v>
      </c>
      <c r="R50" s="226">
        <f t="shared" si="3"/>
        <v>-49.26568542494924</v>
      </c>
      <c r="S50" s="227">
        <f t="shared" si="4"/>
        <v>1.3024963932325804</v>
      </c>
      <c r="T50" s="3"/>
      <c r="U50" s="3"/>
      <c r="V50" s="3"/>
      <c r="W50" s="3"/>
      <c r="X50" s="208">
        <f>$AG$45*COS(RADIANS(AF50))+$R$25+$AG$45</f>
        <v>-49.265685424949233</v>
      </c>
      <c r="Y50" s="221"/>
      <c r="Z50" s="221"/>
      <c r="AA50" s="208">
        <f>$S$25+($AG$45*SIN(RADIANS($AF50)))</f>
        <v>1.3024963932325804</v>
      </c>
      <c r="AB50" s="210">
        <f t="shared" si="14"/>
        <v>1.5144448944023494</v>
      </c>
      <c r="AC50" s="210">
        <f t="shared" si="15"/>
        <v>13.262366902449021</v>
      </c>
      <c r="AD50" s="210">
        <f t="shared" si="16"/>
        <v>-10.233477113644323</v>
      </c>
      <c r="AE50" s="210">
        <f t="shared" si="17"/>
        <v>49.282900251957976</v>
      </c>
      <c r="AF50" s="211">
        <v>-135</v>
      </c>
      <c r="AG50" s="213"/>
    </row>
    <row r="51" spans="15:33" x14ac:dyDescent="0.25">
      <c r="O51" s="232"/>
      <c r="P51" s="236">
        <f t="shared" si="12"/>
        <v>-47.897362646273422</v>
      </c>
      <c r="Q51" s="236">
        <f t="shared" si="13"/>
        <v>-8.8698175814424527</v>
      </c>
      <c r="R51" s="226">
        <f t="shared" si="3"/>
        <v>-48.699999999999996</v>
      </c>
      <c r="S51" s="227">
        <f t="shared" si="4"/>
        <v>1.0681818181818186</v>
      </c>
      <c r="T51" s="3"/>
      <c r="U51" s="3"/>
      <c r="V51" s="3"/>
      <c r="W51" s="3"/>
      <c r="X51" s="208">
        <f>$AG$45*COS(RADIANS(AF51))+$R$25+$AG$45</f>
        <v>-48.699999999999996</v>
      </c>
      <c r="Y51" s="221"/>
      <c r="Z51" s="221"/>
      <c r="AA51" s="208">
        <f>$S$25+($AG$45*SIN(RADIANS($AF51)))</f>
        <v>1.0681818181818183</v>
      </c>
      <c r="AB51" s="210">
        <f t="shared" si="14"/>
        <v>1.2565194665715362</v>
      </c>
      <c r="AC51" s="210">
        <f t="shared" si="15"/>
        <v>13.004441474618208</v>
      </c>
      <c r="AD51" s="210">
        <f t="shared" si="16"/>
        <v>-10.491402541475136</v>
      </c>
      <c r="AE51" s="210">
        <f t="shared" si="17"/>
        <v>48.711713297693542</v>
      </c>
      <c r="AF51" s="211">
        <v>-90</v>
      </c>
      <c r="AG51" s="213"/>
    </row>
    <row r="52" spans="15:33" x14ac:dyDescent="0.25">
      <c r="O52" s="232"/>
      <c r="P52" s="236">
        <f t="shared" si="12"/>
        <v>-47.391234624890771</v>
      </c>
      <c r="Q52" s="236">
        <f t="shared" si="13"/>
        <v>-8.525234142994659</v>
      </c>
      <c r="R52" s="226">
        <f t="shared" si="3"/>
        <v>-48.134314575050759</v>
      </c>
      <c r="S52" s="227">
        <f t="shared" si="4"/>
        <v>1.3024963932325804</v>
      </c>
      <c r="T52" s="3"/>
      <c r="U52" s="3"/>
      <c r="V52" s="3"/>
      <c r="W52" s="3"/>
      <c r="X52" s="208">
        <f>$AG$45*COS(RADIANS(AF52))+$R$25+$AG$45</f>
        <v>-48.134314575050759</v>
      </c>
      <c r="Y52" s="221"/>
      <c r="Z52" s="221"/>
      <c r="AA52" s="208">
        <f>$S$25+($AG$45*SIN(RADIANS($AF52)))</f>
        <v>1.3024963932325804</v>
      </c>
      <c r="AB52" s="210">
        <f t="shared" si="14"/>
        <v>1.5500239308887074</v>
      </c>
      <c r="AC52" s="210">
        <f t="shared" si="15"/>
        <v>13.29794593893538</v>
      </c>
      <c r="AD52" s="210">
        <f t="shared" si="16"/>
        <v>-10.197898077157964</v>
      </c>
      <c r="AE52" s="210">
        <f t="shared" si="17"/>
        <v>48.15193388083523</v>
      </c>
      <c r="AF52" s="211">
        <v>-45</v>
      </c>
      <c r="AG52" s="213"/>
    </row>
    <row r="53" spans="15:33" x14ac:dyDescent="0.25">
      <c r="O53" s="232"/>
      <c r="P53" s="236">
        <f t="shared" si="12"/>
        <v>-47.277005354833584</v>
      </c>
      <c r="Q53" s="236">
        <f t="shared" si="13"/>
        <v>-7.923690300915446</v>
      </c>
      <c r="R53" s="228">
        <f t="shared" si="3"/>
        <v>-47.9</v>
      </c>
      <c r="S53" s="229">
        <f t="shared" si="4"/>
        <v>1.8681818181818184</v>
      </c>
      <c r="T53" s="214"/>
      <c r="U53" s="214"/>
      <c r="V53" s="214"/>
      <c r="W53" s="214"/>
      <c r="X53" s="215">
        <f>$AG$45*COS(RADIANS(AF53))+$R$25+$AG$45</f>
        <v>-47.9</v>
      </c>
      <c r="Y53" s="222"/>
      <c r="Z53" s="222"/>
      <c r="AA53" s="215">
        <f>$S$25+($AG$45*SIN(RADIANS($AF53)))</f>
        <v>1.8681818181818184</v>
      </c>
      <c r="AB53" s="217">
        <f t="shared" si="14"/>
        <v>2.2335012428471979</v>
      </c>
      <c r="AC53" s="217">
        <f t="shared" si="15"/>
        <v>13.981423250893869</v>
      </c>
      <c r="AD53" s="217">
        <f t="shared" si="16"/>
        <v>-9.5144207651994748</v>
      </c>
      <c r="AE53" s="217">
        <f t="shared" si="17"/>
        <v>47.936417297351134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R31" activePane="bottomRight" state="frozen"/>
      <selection pane="topRight" activeCell="AH1" sqref="AH1"/>
      <selection pane="bottomLeft" activeCell="A31" sqref="A31"/>
      <selection pane="bottomRight" activeCell="M27" sqref="M27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5" width="8.5703125" bestFit="1" customWidth="1"/>
    <col min="16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68" t="s">
        <v>74</v>
      </c>
      <c r="Q2" s="269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70"/>
      <c r="Q3" s="271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34">
        <v>0</v>
      </c>
      <c r="P4" s="254">
        <f>ROUND(IF(R4&lt;0,-AE4*COS(RADIANS(AD4)),AE4*COS(RADIANS(AC4))),1)</f>
        <v>-27.6</v>
      </c>
      <c r="Q4" s="255">
        <f>ROUND(IF(R4&lt;0,AE4*SIN(RADIANS(AD4)),AE4*SIN(RADIANS($AC4)))+O4,1)</f>
        <v>-2.2000000000000002</v>
      </c>
      <c r="R4" s="210">
        <f>IF(X4&lt;0,-AE4*COS(RADIANS(AB4)),AE4*COS(RADIANS(AB4)))</f>
        <v>-27.545454545454547</v>
      </c>
      <c r="S4" s="173">
        <f>IF(X4&lt;0,AE4*SIN(RADIANS(AB4)),AE4*SIN(RADIANS(AB4)))</f>
        <v>2.4954545454545456</v>
      </c>
      <c r="T4" s="22">
        <v>1.02</v>
      </c>
      <c r="U4" s="19">
        <v>0.36599999999999999</v>
      </c>
      <c r="V4" s="20">
        <f>IF(Y4=1,$G$26*W4/100,V3+$G$26*W4/100)</f>
        <v>6.954545454545455</v>
      </c>
      <c r="W4" s="18">
        <f>T4*$G$22/16.5</f>
        <v>0.92727272727272736</v>
      </c>
      <c r="X4" s="21">
        <f>V4-$G$25/2</f>
        <v>-27.545454545454547</v>
      </c>
      <c r="Y4" s="19">
        <v>2</v>
      </c>
      <c r="Z4" s="18">
        <f t="shared" ref="Z4:Z25" si="0">U4*$G$22/16.5</f>
        <v>0.33272727272727276</v>
      </c>
      <c r="AA4" s="20">
        <f>$G$26*Z4/100</f>
        <v>2.4954545454545456</v>
      </c>
      <c r="AB4" s="22">
        <f>DEGREES(ATAN(AA4/(ABS(X4))))</f>
        <v>5.1765263748803045</v>
      </c>
      <c r="AC4" s="22">
        <f>DEGREES(ATAN(AA4/(ABS(X4))))+$G$24</f>
        <v>15.008350324809221</v>
      </c>
      <c r="AD4" s="22">
        <f>DEGREES(ATAN(AA4/(ABS(X4))))-$G$24</f>
        <v>-4.6552975750486132</v>
      </c>
      <c r="AE4" s="22">
        <f>SQRT(AA4*AA4+X4*X4)</f>
        <v>27.658260240010257</v>
      </c>
    </row>
    <row r="5" spans="15:31" x14ac:dyDescent="0.25">
      <c r="O5" s="234">
        <v>0</v>
      </c>
      <c r="P5" s="256">
        <f t="shared" ref="P5:P24" si="1">ROUND(IF(R5&lt;0,-AE5*COS(RADIANS(AD5)),AE5*COS(RADIANS(AC5))),1)</f>
        <v>-20.9</v>
      </c>
      <c r="Q5" s="257">
        <f t="shared" ref="Q5:Q24" si="2">ROUND(IF(R5&lt;0,AE5*SIN(RADIANS(AD5)),AE5*SIN(RADIANS($AC5)))+O5,1)</f>
        <v>0</v>
      </c>
      <c r="R5" s="210">
        <f t="shared" ref="R5:R53" si="3">IF(X5&lt;0,-AE5*COS(RADIANS(AB5)),AE5*COS(RADIANS(AB5)))</f>
        <v>-20.59090909090909</v>
      </c>
      <c r="S5" s="173">
        <f t="shared" ref="S5:S53" si="4">IF(X5&lt;0,AE5*SIN(RADIANS(AB5)),AE5*SIN(RADIANS(AB5)))</f>
        <v>3.5999999999999996</v>
      </c>
      <c r="T5" s="22">
        <v>1.02</v>
      </c>
      <c r="U5" s="19">
        <v>0.52800000000000002</v>
      </c>
      <c r="V5" s="20">
        <f>IF(Y5=1,$G$26*W5/100,V4+$G$26*W5/100)</f>
        <v>13.90909090909091</v>
      </c>
      <c r="W5" s="18">
        <f t="shared" ref="W5:W24" si="5">T5*$G$22/16.5</f>
        <v>0.92727272727272736</v>
      </c>
      <c r="X5" s="21">
        <f t="shared" ref="X5:X25" si="6">V5-$G$25/2</f>
        <v>-20.59090909090909</v>
      </c>
      <c r="Y5" s="19">
        <v>3</v>
      </c>
      <c r="Z5" s="18">
        <f t="shared" si="0"/>
        <v>0.48</v>
      </c>
      <c r="AA5" s="20">
        <f>$G$26*Z5/100</f>
        <v>3.6</v>
      </c>
      <c r="AB5" s="22">
        <f t="shared" ref="AB5:AB24" si="7">DEGREES(ATAN(AA5/(ABS(X5))))</f>
        <v>9.9170410697187616</v>
      </c>
      <c r="AC5" s="22">
        <f t="shared" ref="AC5:AC25" si="8">DEGREES(ATAN(AA5/(ABS(X5))))+$G$24</f>
        <v>19.748865019647681</v>
      </c>
      <c r="AD5" s="22">
        <f t="shared" ref="AD5:AD25" si="9">DEGREES(ATAN(AA5/(ABS(X5))))-$G$24</f>
        <v>8.521711978984392E-2</v>
      </c>
      <c r="AE5" s="22">
        <f>SQRT(AA5*AA5+X5*X5)</f>
        <v>20.903242265019141</v>
      </c>
    </row>
    <row r="6" spans="15:31" x14ac:dyDescent="0.25">
      <c r="O6" s="234">
        <v>0</v>
      </c>
      <c r="P6" s="256">
        <f t="shared" si="1"/>
        <v>-14.2</v>
      </c>
      <c r="Q6" s="257">
        <f t="shared" si="2"/>
        <v>2.1</v>
      </c>
      <c r="R6" s="210">
        <f t="shared" si="3"/>
        <v>-13.636363636363635</v>
      </c>
      <c r="S6" s="173">
        <f t="shared" si="4"/>
        <v>4.5</v>
      </c>
      <c r="T6" s="22">
        <v>1.02</v>
      </c>
      <c r="U6" s="19">
        <v>0.66</v>
      </c>
      <c r="V6" s="20">
        <f>IF(Y6=1,$G$26*W6/100,V5+$G$26*W6/100)</f>
        <v>20.863636363636367</v>
      </c>
      <c r="W6" s="18">
        <f t="shared" si="5"/>
        <v>0.92727272727272736</v>
      </c>
      <c r="X6" s="21">
        <f t="shared" si="6"/>
        <v>-13.636363636363633</v>
      </c>
      <c r="Y6" s="19">
        <v>4</v>
      </c>
      <c r="Z6" s="18">
        <f t="shared" si="0"/>
        <v>0.6</v>
      </c>
      <c r="AA6" s="20">
        <f>$G$26*Z6/100</f>
        <v>4.5</v>
      </c>
      <c r="AB6" s="22">
        <f t="shared" si="7"/>
        <v>18.262889942194132</v>
      </c>
      <c r="AC6" s="22">
        <f t="shared" si="8"/>
        <v>28.09471389212305</v>
      </c>
      <c r="AD6" s="22">
        <f t="shared" si="9"/>
        <v>8.4310659922652142</v>
      </c>
      <c r="AE6" s="22">
        <f>SQRT(AA6*AA6+X6*X6)</f>
        <v>14.359680122591186</v>
      </c>
    </row>
    <row r="7" spans="15:31" x14ac:dyDescent="0.25">
      <c r="O7" s="234">
        <v>0</v>
      </c>
      <c r="P7" s="256">
        <f t="shared" si="1"/>
        <v>-7.5</v>
      </c>
      <c r="Q7" s="257">
        <f t="shared" si="2"/>
        <v>4</v>
      </c>
      <c r="R7" s="210">
        <f t="shared" si="3"/>
        <v>-6.6818181818181799</v>
      </c>
      <c r="S7" s="173">
        <f t="shared" si="4"/>
        <v>5.1954545454545462</v>
      </c>
      <c r="T7" s="22">
        <v>1.02</v>
      </c>
      <c r="U7" s="19">
        <v>0.76200000000000001</v>
      </c>
      <c r="V7" s="20">
        <f>IF(Y7=1,$G$26*W7/100,V6+$G$26*W7/100)</f>
        <v>27.81818181818182</v>
      </c>
      <c r="W7" s="18">
        <f t="shared" si="5"/>
        <v>0.92727272727272736</v>
      </c>
      <c r="X7" s="21">
        <f t="shared" si="6"/>
        <v>-6.6818181818181799</v>
      </c>
      <c r="Y7" s="19">
        <v>5</v>
      </c>
      <c r="Z7" s="18">
        <f t="shared" si="0"/>
        <v>0.69272727272727275</v>
      </c>
      <c r="AA7" s="20">
        <f>$G$26*Z7/100</f>
        <v>5.1954545454545453</v>
      </c>
      <c r="AB7" s="22">
        <f t="shared" si="7"/>
        <v>37.866887596395408</v>
      </c>
      <c r="AC7" s="22">
        <f t="shared" si="8"/>
        <v>47.698711546324326</v>
      </c>
      <c r="AD7" s="22">
        <f t="shared" si="9"/>
        <v>28.03506364646649</v>
      </c>
      <c r="AE7" s="22">
        <f>SQRT(AA7*AA7+X7*X7)</f>
        <v>8.4640086335471274</v>
      </c>
    </row>
    <row r="8" spans="15:31" x14ac:dyDescent="0.25">
      <c r="O8" s="234">
        <v>0</v>
      </c>
      <c r="P8" s="256">
        <f t="shared" si="1"/>
        <v>-0.8</v>
      </c>
      <c r="Q8" s="257">
        <f t="shared" si="2"/>
        <v>6</v>
      </c>
      <c r="R8" s="210">
        <f t="shared" si="3"/>
        <v>0.27272727272727387</v>
      </c>
      <c r="S8" s="173">
        <f t="shared" si="4"/>
        <v>6.0136363636363637</v>
      </c>
      <c r="T8" s="22">
        <v>1.02</v>
      </c>
      <c r="U8" s="19">
        <v>0.88200000000000001</v>
      </c>
      <c r="V8" s="20">
        <f>IF(Y8=1,$G$26*W8/100,V7+$G$26*W8/100)</f>
        <v>34.772727272727273</v>
      </c>
      <c r="W8" s="18">
        <f t="shared" si="5"/>
        <v>0.92727272727272736</v>
      </c>
      <c r="X8" s="21">
        <f t="shared" si="6"/>
        <v>0.27272727272727337</v>
      </c>
      <c r="Y8" s="19">
        <v>6</v>
      </c>
      <c r="Z8" s="18">
        <f t="shared" si="0"/>
        <v>0.80181818181818187</v>
      </c>
      <c r="AA8" s="20">
        <f>$G$26*Z8/100</f>
        <v>6.0136363636363637</v>
      </c>
      <c r="AB8" s="22">
        <f t="shared" si="7"/>
        <v>87.40333121236452</v>
      </c>
      <c r="AC8" s="22">
        <f t="shared" si="8"/>
        <v>97.235155162293438</v>
      </c>
      <c r="AD8" s="22">
        <f t="shared" si="9"/>
        <v>77.571507262435603</v>
      </c>
      <c r="AE8" s="22">
        <f>SQRT(AA8*AA8+X8*X8)</f>
        <v>6.0198174789057219</v>
      </c>
    </row>
    <row r="9" spans="15:31" x14ac:dyDescent="0.25">
      <c r="O9" s="234">
        <v>0.5</v>
      </c>
      <c r="P9" s="256">
        <f t="shared" si="1"/>
        <v>6.1</v>
      </c>
      <c r="Q9" s="257">
        <f t="shared" si="2"/>
        <v>7.5</v>
      </c>
      <c r="R9" s="210">
        <f t="shared" si="3"/>
        <v>7.2272727272727257</v>
      </c>
      <c r="S9" s="173">
        <f t="shared" si="4"/>
        <v>5.877272727272727</v>
      </c>
      <c r="T9" s="22">
        <v>1.02</v>
      </c>
      <c r="U9" s="19">
        <v>0.86199999999999999</v>
      </c>
      <c r="V9" s="20">
        <f>IF(Y9=1,$G$26*W9/100,V8+$G$26*W9/100)</f>
        <v>41.727272727272727</v>
      </c>
      <c r="W9" s="18">
        <f t="shared" si="5"/>
        <v>0.92727272727272736</v>
      </c>
      <c r="X9" s="21">
        <f t="shared" si="6"/>
        <v>7.2272727272727266</v>
      </c>
      <c r="Y9" s="19">
        <v>7</v>
      </c>
      <c r="Z9" s="18">
        <f t="shared" si="0"/>
        <v>0.78363636363636358</v>
      </c>
      <c r="AA9" s="20">
        <f>$G$26*Z9/100</f>
        <v>5.8772727272727261</v>
      </c>
      <c r="AB9" s="22">
        <f t="shared" si="7"/>
        <v>39.11826949876081</v>
      </c>
      <c r="AC9" s="22">
        <f t="shared" si="8"/>
        <v>48.950093448689728</v>
      </c>
      <c r="AD9" s="22">
        <f t="shared" si="9"/>
        <v>29.286445548831892</v>
      </c>
      <c r="AE9" s="22">
        <f>SQRT(AA9*AA9+X9*X9)</f>
        <v>9.3153532292191663</v>
      </c>
    </row>
    <row r="10" spans="15:31" x14ac:dyDescent="0.25">
      <c r="O10" s="234">
        <v>0.4</v>
      </c>
      <c r="P10" s="256">
        <f t="shared" si="1"/>
        <v>13</v>
      </c>
      <c r="Q10" s="257">
        <f t="shared" si="2"/>
        <v>8.6999999999999993</v>
      </c>
      <c r="R10" s="210">
        <f t="shared" si="3"/>
        <v>14.18181818181818</v>
      </c>
      <c r="S10" s="173">
        <f t="shared" si="4"/>
        <v>5.9454545454545462</v>
      </c>
      <c r="T10" s="22">
        <v>1.02</v>
      </c>
      <c r="U10" s="19">
        <v>0.872</v>
      </c>
      <c r="V10" s="20">
        <f>IF(Y10=1,$G$26*W10/100,V9+$G$26*W10/100)</f>
        <v>48.68181818181818</v>
      </c>
      <c r="W10" s="18">
        <f t="shared" si="5"/>
        <v>0.92727272727272736</v>
      </c>
      <c r="X10" s="21">
        <f t="shared" si="6"/>
        <v>14.18181818181818</v>
      </c>
      <c r="Y10" s="19">
        <v>8</v>
      </c>
      <c r="Z10" s="18">
        <f t="shared" si="0"/>
        <v>0.79272727272727272</v>
      </c>
      <c r="AA10" s="20">
        <f>$G$26*Z10/100</f>
        <v>5.9454545454545453</v>
      </c>
      <c r="AB10" s="22">
        <f t="shared" si="7"/>
        <v>22.744930570992722</v>
      </c>
      <c r="AC10" s="22">
        <f t="shared" si="8"/>
        <v>32.576754520921639</v>
      </c>
      <c r="AD10" s="22">
        <f t="shared" si="9"/>
        <v>12.913106621063804</v>
      </c>
      <c r="AE10" s="22">
        <f>SQRT(AA10*AA10+X10*X10)</f>
        <v>15.377659012158347</v>
      </c>
    </row>
    <row r="11" spans="15:31" x14ac:dyDescent="0.25">
      <c r="O11" s="234">
        <v>0.2</v>
      </c>
      <c r="P11" s="256">
        <f t="shared" si="1"/>
        <v>19.899999999999999</v>
      </c>
      <c r="Q11" s="257">
        <f t="shared" si="2"/>
        <v>9.4</v>
      </c>
      <c r="R11" s="210">
        <f t="shared" si="3"/>
        <v>21.13636363636363</v>
      </c>
      <c r="S11" s="173">
        <f t="shared" si="4"/>
        <v>5.6727272727272711</v>
      </c>
      <c r="T11" s="22">
        <v>1.02</v>
      </c>
      <c r="U11" s="19">
        <v>0.83199999999999996</v>
      </c>
      <c r="V11" s="20">
        <f>IF(Y11=1,$G$26*W11/100,V10+$G$26*W11/100)</f>
        <v>55.636363636363633</v>
      </c>
      <c r="W11" s="18">
        <f t="shared" si="5"/>
        <v>0.92727272727272736</v>
      </c>
      <c r="X11" s="21">
        <f t="shared" si="6"/>
        <v>21.136363636363633</v>
      </c>
      <c r="Y11" s="19">
        <v>9</v>
      </c>
      <c r="Z11" s="18">
        <f t="shared" si="0"/>
        <v>0.75636363636363624</v>
      </c>
      <c r="AA11" s="20">
        <f>$G$26*Z11/100</f>
        <v>5.6727272727272711</v>
      </c>
      <c r="AB11" s="22">
        <f t="shared" si="7"/>
        <v>15.023406790857528</v>
      </c>
      <c r="AC11" s="22">
        <f t="shared" si="8"/>
        <v>24.855230740786446</v>
      </c>
      <c r="AD11" s="22">
        <f t="shared" si="9"/>
        <v>5.1915828409286107</v>
      </c>
      <c r="AE11" s="22">
        <f>SQRT(AA11*AA11+X11*X11)</f>
        <v>21.884371192230738</v>
      </c>
    </row>
    <row r="12" spans="15:31" x14ac:dyDescent="0.25">
      <c r="O12" s="234">
        <v>0</v>
      </c>
      <c r="P12" s="256">
        <f t="shared" si="1"/>
        <v>26.9</v>
      </c>
      <c r="Q12" s="257">
        <f t="shared" si="2"/>
        <v>9.5</v>
      </c>
      <c r="R12" s="210">
        <f t="shared" si="3"/>
        <v>28.090909090909086</v>
      </c>
      <c r="S12" s="173">
        <f t="shared" si="4"/>
        <v>4.7727272727272716</v>
      </c>
      <c r="T12" s="22">
        <v>1.02</v>
      </c>
      <c r="U12" s="19">
        <v>0.7</v>
      </c>
      <c r="V12" s="20">
        <f>IF(Y12=1,$G$26*W12/100,V11+$G$26*W12/100)</f>
        <v>62.590909090909086</v>
      </c>
      <c r="W12" s="18">
        <f t="shared" si="5"/>
        <v>0.92727272727272736</v>
      </c>
      <c r="X12" s="21">
        <f t="shared" si="6"/>
        <v>28.090909090909086</v>
      </c>
      <c r="Y12" s="19">
        <v>10</v>
      </c>
      <c r="Z12" s="18">
        <f t="shared" si="0"/>
        <v>0.63636363636363635</v>
      </c>
      <c r="AA12" s="20">
        <f>$G$26*Z12/100</f>
        <v>4.7727272727272725</v>
      </c>
      <c r="AB12" s="22">
        <f t="shared" si="7"/>
        <v>9.6426387787692551</v>
      </c>
      <c r="AC12" s="22">
        <f t="shared" si="8"/>
        <v>19.474462728698171</v>
      </c>
      <c r="AD12" s="22">
        <f t="shared" si="9"/>
        <v>-0.1891851711596626</v>
      </c>
      <c r="AE12" s="22">
        <f t="shared" ref="AE12:AE25" si="10">SQRT(AA12*AA12+X12*X12)</f>
        <v>28.493474677082705</v>
      </c>
    </row>
    <row r="13" spans="15:31" x14ac:dyDescent="0.25">
      <c r="O13" s="234">
        <v>0</v>
      </c>
      <c r="P13" s="256">
        <f t="shared" si="1"/>
        <v>30.5</v>
      </c>
      <c r="Q13" s="257">
        <f t="shared" si="2"/>
        <v>8.9</v>
      </c>
      <c r="R13" s="210">
        <f t="shared" si="3"/>
        <v>31.554545454545444</v>
      </c>
      <c r="S13" s="173">
        <f t="shared" si="4"/>
        <v>3.5318181818181813</v>
      </c>
      <c r="T13" s="18">
        <v>0.50800000000000001</v>
      </c>
      <c r="U13" s="19">
        <v>0.51800000000000002</v>
      </c>
      <c r="V13" s="20">
        <f>IF(Y13=1,$G$26*W13/100,V12+$G$26*W13/100)</f>
        <v>66.054545454545448</v>
      </c>
      <c r="W13" s="18">
        <f t="shared" si="5"/>
        <v>0.46181818181818185</v>
      </c>
      <c r="X13" s="21">
        <f t="shared" si="6"/>
        <v>31.554545454545448</v>
      </c>
      <c r="Y13" s="19">
        <v>11</v>
      </c>
      <c r="Z13" s="18">
        <f t="shared" si="0"/>
        <v>0.47090909090909094</v>
      </c>
      <c r="AA13" s="21">
        <f>$G$26*Z13/100</f>
        <v>3.5318181818181817</v>
      </c>
      <c r="AB13" s="22">
        <f t="shared" si="7"/>
        <v>6.3863870525575228</v>
      </c>
      <c r="AC13" s="22">
        <f t="shared" si="8"/>
        <v>16.218211002486441</v>
      </c>
      <c r="AD13" s="22">
        <f t="shared" si="9"/>
        <v>-3.4454368973713949</v>
      </c>
      <c r="AE13" s="22">
        <f t="shared" si="10"/>
        <v>31.75158387407463</v>
      </c>
    </row>
    <row r="14" spans="15:31" ht="15.75" x14ac:dyDescent="0.25">
      <c r="O14" s="234">
        <v>0</v>
      </c>
      <c r="P14" s="258">
        <f>P36</f>
        <v>33.691764639823802</v>
      </c>
      <c r="Q14" s="259">
        <f>Q36</f>
        <v>7.6310831716129508</v>
      </c>
      <c r="R14" s="210">
        <f t="shared" si="3"/>
        <v>34.5</v>
      </c>
      <c r="S14" s="173">
        <f t="shared" si="4"/>
        <v>1.7659090909090909</v>
      </c>
      <c r="T14" s="23"/>
      <c r="U14" s="24">
        <v>0.112</v>
      </c>
      <c r="V14" s="25">
        <f>G25</f>
        <v>69</v>
      </c>
      <c r="W14" s="18">
        <f t="shared" si="5"/>
        <v>0</v>
      </c>
      <c r="X14" s="21">
        <f t="shared" si="6"/>
        <v>34.5</v>
      </c>
      <c r="Y14" s="26">
        <v>12</v>
      </c>
      <c r="Z14" s="18">
        <f>U14*$G$22/16.5</f>
        <v>0.10181818181818181</v>
      </c>
      <c r="AA14" s="240">
        <f>AA13-(AA13-AA15)/2</f>
        <v>1.7659090909090909</v>
      </c>
      <c r="AB14" s="22">
        <f t="shared" si="7"/>
        <v>2.9301714206885645</v>
      </c>
      <c r="AC14" s="22">
        <f t="shared" si="8"/>
        <v>12.761995370617482</v>
      </c>
      <c r="AD14" s="22">
        <f t="shared" si="9"/>
        <v>-6.9016525292403532</v>
      </c>
      <c r="AE14" s="22">
        <f t="shared" si="10"/>
        <v>34.545165145318897</v>
      </c>
    </row>
    <row r="15" spans="15:31" x14ac:dyDescent="0.25">
      <c r="O15" s="234">
        <v>0.2</v>
      </c>
      <c r="P15" s="260">
        <f t="shared" si="1"/>
        <v>30.6</v>
      </c>
      <c r="Q15" s="261">
        <f t="shared" si="2"/>
        <v>5.5</v>
      </c>
      <c r="R15" s="210">
        <f t="shared" si="3"/>
        <v>31.036363636363632</v>
      </c>
      <c r="S15" s="173">
        <f t="shared" si="4"/>
        <v>0</v>
      </c>
      <c r="T15" s="27">
        <v>0.50800000000000001</v>
      </c>
      <c r="U15" s="28">
        <v>0</v>
      </c>
      <c r="V15" s="29">
        <f>IF(Y15=11,$G$25-$G$26*W15/100,V14-$G$26*W15/100)</f>
        <v>65.536363636363632</v>
      </c>
      <c r="W15" s="18">
        <f t="shared" si="5"/>
        <v>0.46181818181818185</v>
      </c>
      <c r="X15" s="21">
        <f t="shared" si="6"/>
        <v>31.036363636363632</v>
      </c>
      <c r="Y15" s="28">
        <v>11</v>
      </c>
      <c r="Z15" s="18">
        <f t="shared" si="0"/>
        <v>0</v>
      </c>
      <c r="AA15" s="30">
        <f t="shared" ref="AA15:AA24" si="11">$G$26*Z15/100</f>
        <v>0</v>
      </c>
      <c r="AB15" s="22">
        <f t="shared" si="7"/>
        <v>0</v>
      </c>
      <c r="AC15" s="22">
        <f t="shared" si="8"/>
        <v>9.8318239499289177</v>
      </c>
      <c r="AD15" s="22">
        <f t="shared" si="9"/>
        <v>-9.8318239499289177</v>
      </c>
      <c r="AE15" s="22">
        <f t="shared" si="10"/>
        <v>31.036363636363632</v>
      </c>
    </row>
    <row r="16" spans="15:31" x14ac:dyDescent="0.25">
      <c r="O16" s="234">
        <v>0</v>
      </c>
      <c r="P16" s="260">
        <f t="shared" si="1"/>
        <v>27.2</v>
      </c>
      <c r="Q16" s="261">
        <f t="shared" si="2"/>
        <v>4.7</v>
      </c>
      <c r="R16" s="210">
        <f t="shared" si="3"/>
        <v>27.572727272727271</v>
      </c>
      <c r="S16" s="173">
        <f t="shared" si="4"/>
        <v>0</v>
      </c>
      <c r="T16" s="27">
        <v>0.50800000000000001</v>
      </c>
      <c r="U16" s="28">
        <v>0</v>
      </c>
      <c r="V16" s="29">
        <f>IF(Y16=11,$G$25-$G$26*W16/100,V15-$G$26*W16/100)</f>
        <v>62.072727272727271</v>
      </c>
      <c r="W16" s="18">
        <f t="shared" si="5"/>
        <v>0.46181818181818185</v>
      </c>
      <c r="X16" s="21">
        <f t="shared" si="6"/>
        <v>27.572727272727271</v>
      </c>
      <c r="Y16" s="28">
        <v>10</v>
      </c>
      <c r="Z16" s="18">
        <f t="shared" si="0"/>
        <v>0</v>
      </c>
      <c r="AA16" s="29">
        <f t="shared" si="11"/>
        <v>0</v>
      </c>
      <c r="AB16" s="22">
        <f t="shared" si="7"/>
        <v>0</v>
      </c>
      <c r="AC16" s="22">
        <f t="shared" si="8"/>
        <v>9.8318239499289177</v>
      </c>
      <c r="AD16" s="22">
        <f t="shared" si="9"/>
        <v>-9.8318239499289177</v>
      </c>
      <c r="AE16" s="22">
        <f t="shared" si="10"/>
        <v>27.572727272727271</v>
      </c>
    </row>
    <row r="17" spans="2:32" x14ac:dyDescent="0.25">
      <c r="O17" s="234">
        <v>0</v>
      </c>
      <c r="P17" s="260">
        <f t="shared" si="1"/>
        <v>20.3</v>
      </c>
      <c r="Q17" s="261">
        <f t="shared" si="2"/>
        <v>3.5</v>
      </c>
      <c r="R17" s="210">
        <f t="shared" si="3"/>
        <v>20.618181818181817</v>
      </c>
      <c r="S17" s="173">
        <f t="shared" si="4"/>
        <v>0</v>
      </c>
      <c r="T17" s="28">
        <v>1.02</v>
      </c>
      <c r="U17" s="28">
        <v>0</v>
      </c>
      <c r="V17" s="29">
        <f>IF(Y17=11,$G$25-$G$26*W17/100,V16-$G$26*W17/100)</f>
        <v>55.118181818181817</v>
      </c>
      <c r="W17" s="18">
        <f t="shared" si="5"/>
        <v>0.92727272727272736</v>
      </c>
      <c r="X17" s="21">
        <f t="shared" si="6"/>
        <v>20.618181818181817</v>
      </c>
      <c r="Y17" s="28">
        <v>9</v>
      </c>
      <c r="Z17" s="18">
        <f t="shared" si="0"/>
        <v>0</v>
      </c>
      <c r="AA17" s="29">
        <f t="shared" si="11"/>
        <v>0</v>
      </c>
      <c r="AB17" s="22">
        <f t="shared" si="7"/>
        <v>0</v>
      </c>
      <c r="AC17" s="22">
        <f t="shared" si="8"/>
        <v>9.8318239499289177</v>
      </c>
      <c r="AD17" s="22">
        <f t="shared" si="9"/>
        <v>-9.8318239499289177</v>
      </c>
      <c r="AE17" s="22">
        <f t="shared" si="10"/>
        <v>20.618181818181817</v>
      </c>
    </row>
    <row r="18" spans="2:32" x14ac:dyDescent="0.25">
      <c r="O18" s="234">
        <v>0</v>
      </c>
      <c r="P18" s="260">
        <f t="shared" si="1"/>
        <v>13.5</v>
      </c>
      <c r="Q18" s="261">
        <f t="shared" si="2"/>
        <v>2.2999999999999998</v>
      </c>
      <c r="R18" s="210">
        <f t="shared" si="3"/>
        <v>13.663636363636364</v>
      </c>
      <c r="S18" s="173">
        <f t="shared" si="4"/>
        <v>0</v>
      </c>
      <c r="T18" s="28">
        <v>1.02</v>
      </c>
      <c r="U18" s="28">
        <v>0</v>
      </c>
      <c r="V18" s="29">
        <f>IF(Y18=11,$G$25-$G$26*W18/100,V17-$G$26*W18/100)</f>
        <v>48.163636363636364</v>
      </c>
      <c r="W18" s="18">
        <f t="shared" si="5"/>
        <v>0.92727272727272736</v>
      </c>
      <c r="X18" s="21">
        <f t="shared" si="6"/>
        <v>13.663636363636364</v>
      </c>
      <c r="Y18" s="28">
        <v>8</v>
      </c>
      <c r="Z18" s="18">
        <f t="shared" si="0"/>
        <v>0</v>
      </c>
      <c r="AA18" s="29">
        <f t="shared" si="11"/>
        <v>0</v>
      </c>
      <c r="AB18" s="22">
        <f t="shared" si="7"/>
        <v>0</v>
      </c>
      <c r="AC18" s="22">
        <f t="shared" si="8"/>
        <v>9.8318239499289177</v>
      </c>
      <c r="AD18" s="22">
        <f t="shared" si="9"/>
        <v>-9.8318239499289177</v>
      </c>
      <c r="AE18" s="22">
        <f t="shared" si="10"/>
        <v>13.663636363636364</v>
      </c>
    </row>
    <row r="19" spans="2:32" x14ac:dyDescent="0.25">
      <c r="O19" s="234">
        <v>0</v>
      </c>
      <c r="P19" s="260">
        <f t="shared" si="1"/>
        <v>6.6</v>
      </c>
      <c r="Q19" s="261">
        <f t="shared" si="2"/>
        <v>1.1000000000000001</v>
      </c>
      <c r="R19" s="210">
        <f t="shared" si="3"/>
        <v>6.7090909090909108</v>
      </c>
      <c r="S19" s="173">
        <f t="shared" si="4"/>
        <v>0</v>
      </c>
      <c r="T19" s="28">
        <v>1.02</v>
      </c>
      <c r="U19" s="28">
        <v>0</v>
      </c>
      <c r="V19" s="29">
        <f>IF(Y19=11,$G$25-$G$26*W19/100,V18-$G$26*W19/100)</f>
        <v>41.209090909090911</v>
      </c>
      <c r="W19" s="18">
        <f t="shared" si="5"/>
        <v>0.92727272727272736</v>
      </c>
      <c r="X19" s="21">
        <f t="shared" si="6"/>
        <v>6.7090909090909108</v>
      </c>
      <c r="Y19" s="28">
        <v>7</v>
      </c>
      <c r="Z19" s="18">
        <f t="shared" si="0"/>
        <v>0</v>
      </c>
      <c r="AA19" s="29">
        <f t="shared" si="11"/>
        <v>0</v>
      </c>
      <c r="AB19" s="22">
        <f t="shared" si="7"/>
        <v>0</v>
      </c>
      <c r="AC19" s="22">
        <f t="shared" si="8"/>
        <v>9.8318239499289177</v>
      </c>
      <c r="AD19" s="22">
        <f t="shared" si="9"/>
        <v>-9.8318239499289177</v>
      </c>
      <c r="AE19" s="22">
        <f t="shared" si="10"/>
        <v>6.7090909090909108</v>
      </c>
    </row>
    <row r="20" spans="2:32" x14ac:dyDescent="0.25">
      <c r="O20" s="234">
        <v>0</v>
      </c>
      <c r="P20" s="260">
        <f t="shared" si="1"/>
        <v>-0.2</v>
      </c>
      <c r="Q20" s="261">
        <f t="shared" si="2"/>
        <v>0</v>
      </c>
      <c r="R20" s="210">
        <f t="shared" si="3"/>
        <v>-0.24545454545454248</v>
      </c>
      <c r="S20" s="173">
        <f t="shared" si="4"/>
        <v>0</v>
      </c>
      <c r="T20" s="28">
        <v>1.02</v>
      </c>
      <c r="U20" s="28">
        <v>0</v>
      </c>
      <c r="V20" s="29">
        <f>IF(Y20=11,$G$25-$G$26*W20/100,V19-$G$26*W20/100)</f>
        <v>34.254545454545458</v>
      </c>
      <c r="W20" s="18">
        <f t="shared" si="5"/>
        <v>0.92727272727272736</v>
      </c>
      <c r="X20" s="21">
        <f t="shared" si="6"/>
        <v>-0.24545454545454248</v>
      </c>
      <c r="Y20" s="28">
        <v>6</v>
      </c>
      <c r="Z20" s="18">
        <f t="shared" si="0"/>
        <v>0</v>
      </c>
      <c r="AA20" s="29">
        <f t="shared" si="11"/>
        <v>0</v>
      </c>
      <c r="AB20" s="22">
        <f t="shared" si="7"/>
        <v>0</v>
      </c>
      <c r="AC20" s="22">
        <f t="shared" si="8"/>
        <v>9.8318239499289177</v>
      </c>
      <c r="AD20" s="22">
        <f t="shared" si="9"/>
        <v>-9.8318239499289177</v>
      </c>
      <c r="AE20" s="22">
        <f t="shared" si="10"/>
        <v>0.24545454545454248</v>
      </c>
    </row>
    <row r="21" spans="2:32" x14ac:dyDescent="0.25">
      <c r="O21" s="234">
        <v>0</v>
      </c>
      <c r="P21" s="260">
        <f t="shared" si="1"/>
        <v>-7.1</v>
      </c>
      <c r="Q21" s="261">
        <f t="shared" si="2"/>
        <v>-1.2</v>
      </c>
      <c r="R21" s="210">
        <f t="shared" si="3"/>
        <v>-7.1999999999999957</v>
      </c>
      <c r="S21" s="173">
        <f t="shared" si="4"/>
        <v>0</v>
      </c>
      <c r="T21" s="28">
        <v>1.02</v>
      </c>
      <c r="U21" s="28">
        <v>0</v>
      </c>
      <c r="V21" s="29">
        <f>IF(Y21=11,$G$25-$G$26*W21/100,V20-$G$26*W21/100)</f>
        <v>27.300000000000004</v>
      </c>
      <c r="W21" s="18">
        <f t="shared" si="5"/>
        <v>0.92727272727272736</v>
      </c>
      <c r="X21" s="21">
        <f t="shared" si="6"/>
        <v>-7.1999999999999957</v>
      </c>
      <c r="Y21" s="28">
        <v>5</v>
      </c>
      <c r="Z21" s="18">
        <f t="shared" si="0"/>
        <v>0</v>
      </c>
      <c r="AA21" s="29">
        <f t="shared" si="11"/>
        <v>0</v>
      </c>
      <c r="AB21" s="22">
        <f t="shared" si="7"/>
        <v>0</v>
      </c>
      <c r="AC21" s="22">
        <f t="shared" si="8"/>
        <v>9.8318239499289177</v>
      </c>
      <c r="AD21" s="22">
        <f t="shared" si="9"/>
        <v>-9.8318239499289177</v>
      </c>
      <c r="AE21" s="22">
        <f t="shared" si="10"/>
        <v>7.1999999999999957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-13.9</v>
      </c>
      <c r="Q22" s="261">
        <f t="shared" si="2"/>
        <v>-2.4</v>
      </c>
      <c r="R22" s="210">
        <f t="shared" si="3"/>
        <v>-14.154545454545449</v>
      </c>
      <c r="S22" s="173">
        <f t="shared" si="4"/>
        <v>0</v>
      </c>
      <c r="T22" s="28">
        <v>1.02</v>
      </c>
      <c r="U22" s="28">
        <v>0</v>
      </c>
      <c r="V22" s="29">
        <f>IF(Y22=11,$G$25-$G$26*W22/100,V21-$G$26*W22/100)</f>
        <v>20.345454545454551</v>
      </c>
      <c r="W22" s="18">
        <f t="shared" si="5"/>
        <v>0.92727272727272736</v>
      </c>
      <c r="X22" s="21">
        <f t="shared" si="6"/>
        <v>-14.154545454545449</v>
      </c>
      <c r="Y22" s="28">
        <v>4</v>
      </c>
      <c r="Z22" s="18">
        <f t="shared" si="0"/>
        <v>0</v>
      </c>
      <c r="AA22" s="29">
        <f t="shared" si="11"/>
        <v>0</v>
      </c>
      <c r="AB22" s="22">
        <f t="shared" si="7"/>
        <v>0</v>
      </c>
      <c r="AC22" s="22">
        <f t="shared" si="8"/>
        <v>9.8318239499289177</v>
      </c>
      <c r="AD22" s="22">
        <f t="shared" si="9"/>
        <v>-9.8318239499289177</v>
      </c>
      <c r="AE22" s="22">
        <f t="shared" si="10"/>
        <v>14.154545454545449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67">
        <f>B27</f>
        <v>0.9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-20.8</v>
      </c>
      <c r="Q23" s="261">
        <f t="shared" si="2"/>
        <v>-3.6</v>
      </c>
      <c r="R23" s="210">
        <f t="shared" si="3"/>
        <v>-21.109090909090902</v>
      </c>
      <c r="S23" s="173">
        <f t="shared" si="4"/>
        <v>0</v>
      </c>
      <c r="T23" s="28">
        <v>1.02</v>
      </c>
      <c r="U23" s="28">
        <v>0</v>
      </c>
      <c r="V23" s="29">
        <f>IF(Y23=11,$G$25-$G$26*W23/100,V22-$G$26*W23/100)</f>
        <v>13.390909090909096</v>
      </c>
      <c r="W23" s="18">
        <f t="shared" si="5"/>
        <v>0.92727272727272736</v>
      </c>
      <c r="X23" s="21">
        <f t="shared" si="6"/>
        <v>-21.109090909090902</v>
      </c>
      <c r="Y23" s="28">
        <v>3</v>
      </c>
      <c r="Z23" s="18">
        <f t="shared" si="0"/>
        <v>0</v>
      </c>
      <c r="AA23" s="29">
        <f t="shared" si="11"/>
        <v>0</v>
      </c>
      <c r="AB23" s="22">
        <f t="shared" si="7"/>
        <v>0</v>
      </c>
      <c r="AC23" s="22">
        <f t="shared" si="8"/>
        <v>9.8318239499289177</v>
      </c>
      <c r="AD23" s="22">
        <f t="shared" si="9"/>
        <v>-9.8318239499289177</v>
      </c>
      <c r="AE23" s="22">
        <f t="shared" si="10"/>
        <v>21.109090909090902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D27+I24</f>
        <v>9.8318239499289177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-27.7</v>
      </c>
      <c r="Q24" s="261">
        <f t="shared" si="2"/>
        <v>-4.8</v>
      </c>
      <c r="R24" s="210">
        <f t="shared" si="3"/>
        <v>-28.063636363636359</v>
      </c>
      <c r="S24" s="173">
        <f t="shared" si="4"/>
        <v>0</v>
      </c>
      <c r="T24" s="28">
        <v>1.02</v>
      </c>
      <c r="U24" s="28">
        <v>0</v>
      </c>
      <c r="V24" s="29">
        <f>IF(Y24=11,$G$25-$G$26*W24/100,V23-$G$26*W24/100)</f>
        <v>6.4363636363636409</v>
      </c>
      <c r="W24" s="18">
        <f t="shared" si="5"/>
        <v>0.92727272727272736</v>
      </c>
      <c r="X24" s="21">
        <f t="shared" si="6"/>
        <v>-28.063636363636359</v>
      </c>
      <c r="Y24" s="28">
        <v>2</v>
      </c>
      <c r="Z24" s="18">
        <f t="shared" si="0"/>
        <v>0</v>
      </c>
      <c r="AA24" s="29">
        <f t="shared" si="11"/>
        <v>0</v>
      </c>
      <c r="AB24" s="22">
        <f t="shared" si="7"/>
        <v>0</v>
      </c>
      <c r="AC24" s="22">
        <f t="shared" si="8"/>
        <v>9.8318239499289177</v>
      </c>
      <c r="AD24" s="22">
        <f t="shared" si="9"/>
        <v>-9.8318239499289177</v>
      </c>
      <c r="AE24" s="22">
        <f t="shared" si="10"/>
        <v>28.063636363636359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156">
        <f>ROUND((G26*G27/100)*(G22/16.5),0)</f>
        <v>69</v>
      </c>
      <c r="O25" s="234">
        <v>0</v>
      </c>
      <c r="P25" s="262">
        <f>P49</f>
        <v>-34.206363543629195</v>
      </c>
      <c r="Q25" s="263">
        <f>Q49</f>
        <v>-4.6617074627418607</v>
      </c>
      <c r="R25" s="210">
        <f t="shared" si="3"/>
        <v>-34.5</v>
      </c>
      <c r="S25" s="173">
        <f t="shared" si="4"/>
        <v>1.2477272727272726</v>
      </c>
      <c r="T25" s="23"/>
      <c r="U25" s="24">
        <v>0.112</v>
      </c>
      <c r="V25" s="25">
        <v>0</v>
      </c>
      <c r="W25" s="23"/>
      <c r="X25" s="21">
        <f t="shared" si="6"/>
        <v>-34.5</v>
      </c>
      <c r="Y25" s="26">
        <v>1</v>
      </c>
      <c r="Z25" s="18">
        <f t="shared" si="0"/>
        <v>0.10181818181818181</v>
      </c>
      <c r="AA25" s="25">
        <f>AA4-(-AA24+AA4)/2</f>
        <v>1.2477272727272728</v>
      </c>
      <c r="AB25" s="22">
        <f>DEGREES(ATAN(AA25/(ABS(X25))))</f>
        <v>2.071256875288646</v>
      </c>
      <c r="AC25" s="22">
        <f t="shared" si="8"/>
        <v>11.903080825217565</v>
      </c>
      <c r="AD25" s="22">
        <f t="shared" si="9"/>
        <v>-7.7605670746402717</v>
      </c>
      <c r="AE25" s="22">
        <f t="shared" si="10"/>
        <v>34.522555284148758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O26" s="235"/>
      <c r="P26" s="237">
        <f>P36</f>
        <v>33.691764639823802</v>
      </c>
      <c r="Q26" s="237">
        <f>Q36</f>
        <v>7.6310831716129508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57">
        <f>'Мощ-Диаметр-Ширина-Шаг-Угол'!T21</f>
        <v>0.9</v>
      </c>
      <c r="C27" s="158">
        <f>'Мощ-Диаметр-Ширина-Шаг-Угол'!U21</f>
        <v>675</v>
      </c>
      <c r="D27" s="158">
        <f>'Мощ-Диаметр-Ширина-Шаг-Угол'!V21</f>
        <v>9.8318239499289177</v>
      </c>
      <c r="F27" s="149" t="s">
        <v>68</v>
      </c>
      <c r="G27" s="154">
        <v>10.16</v>
      </c>
      <c r="O27" s="235"/>
      <c r="P27" s="237">
        <f>P49</f>
        <v>-34.206363543629195</v>
      </c>
      <c r="Q27" s="237">
        <f>Q49</f>
        <v>-4.6617074627418607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34">
        <f>'Мощ-Диаметр-Ширина-Шаг-Угол'!T22</f>
        <v>1</v>
      </c>
      <c r="C28" s="135">
        <f>'Мощ-Диаметр-Ширина-Шаг-Угол'!U22</f>
        <v>750</v>
      </c>
      <c r="D28" s="135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33.691764639823802</v>
      </c>
      <c r="Q36" s="236">
        <f t="shared" ref="Q36:Q53" si="13">IF(R36&lt;0,AE36*SIN(RADIANS(AD36)),AE36*SIN(RADIANS($AC36)))+O36</f>
        <v>7.6310831716129508</v>
      </c>
      <c r="R36" s="224">
        <f t="shared" si="3"/>
        <v>34.5</v>
      </c>
      <c r="S36" s="225">
        <f t="shared" si="4"/>
        <v>1.7659090909090909</v>
      </c>
      <c r="T36" s="202"/>
      <c r="U36" s="202"/>
      <c r="V36" s="202"/>
      <c r="W36" s="202"/>
      <c r="X36" s="203">
        <f>$AG$36*COS(RADIANS($AF36))+$R$14-$AG$36</f>
        <v>34.5</v>
      </c>
      <c r="Y36" s="204"/>
      <c r="Z36" s="204"/>
      <c r="AA36" s="203">
        <f>$S$14+($AG$36*SIN(RADIANS($AF36)))</f>
        <v>1.7659090909090909</v>
      </c>
      <c r="AB36" s="205">
        <f t="shared" ref="AB36:AB53" si="14">DEGREES(ATAN(AA36/(ABS(X36))))</f>
        <v>2.9301714206885645</v>
      </c>
      <c r="AC36" s="205">
        <f t="shared" ref="AC36:AC53" si="15">DEGREES(ATAN(AA36/(ABS(X36))))+$G$24</f>
        <v>12.761995370617482</v>
      </c>
      <c r="AD36" s="205">
        <f t="shared" ref="AD36:AD53" si="16">DEGREES(ATAN(AA36/(ABS(X36))))-$G$24</f>
        <v>-6.9016525292403532</v>
      </c>
      <c r="AE36" s="205">
        <f t="shared" ref="AE36:AE53" si="17">SQRT(AA36*AA36+X36*X36)</f>
        <v>34.545165145318897</v>
      </c>
      <c r="AF36" s="206">
        <v>0</v>
      </c>
      <c r="AG36" s="207">
        <f>ROUND($Z$14*$G$26/100,1)</f>
        <v>0.8</v>
      </c>
      <c r="AI36" s="201"/>
    </row>
    <row r="37" spans="15:35" ht="18" customHeight="1" x14ac:dyDescent="0.25">
      <c r="O37" s="232"/>
      <c r="P37" s="236">
        <f t="shared" si="12"/>
        <v>33.364296761191959</v>
      </c>
      <c r="Q37" s="236">
        <f t="shared" si="13"/>
        <v>8.1484496843924177</v>
      </c>
      <c r="R37" s="226">
        <f t="shared" si="3"/>
        <v>34.26568542494924</v>
      </c>
      <c r="S37" s="227">
        <f t="shared" si="4"/>
        <v>2.3315945158583289</v>
      </c>
      <c r="T37" s="3"/>
      <c r="U37" s="3"/>
      <c r="V37" s="3"/>
      <c r="W37" s="3"/>
      <c r="X37" s="208">
        <f>$AG$36*COS(RADIANS($AF37))+$R$14-$AG$36</f>
        <v>34.26568542494924</v>
      </c>
      <c r="Y37" s="209"/>
      <c r="Z37" s="209"/>
      <c r="AA37" s="208">
        <f>$S$14+($AG$36*SIN(RADIANS($AF37)))</f>
        <v>2.3315945158583289</v>
      </c>
      <c r="AB37" s="210">
        <f t="shared" si="14"/>
        <v>3.8926674561662638</v>
      </c>
      <c r="AC37" s="210">
        <f t="shared" si="15"/>
        <v>13.724491406095181</v>
      </c>
      <c r="AD37" s="210">
        <f t="shared" si="16"/>
        <v>-5.9391564937626544</v>
      </c>
      <c r="AE37" s="210">
        <f t="shared" si="17"/>
        <v>34.344920011960419</v>
      </c>
      <c r="AF37" s="211">
        <v>45</v>
      </c>
      <c r="AG37" s="212" t="str">
        <f>CONCATENATE("r1=",$AG$36)</f>
        <v>r1=0,8</v>
      </c>
      <c r="AH37" s="201"/>
      <c r="AI37" s="201"/>
    </row>
    <row r="38" spans="15:35" ht="18" customHeight="1" x14ac:dyDescent="0.25">
      <c r="O38" s="232"/>
      <c r="P38" s="236">
        <f t="shared" si="12"/>
        <v>32.766908634045429</v>
      </c>
      <c r="Q38" s="236">
        <f>IF(R38&lt;0,AE38*SIN(RADIANS(AD38)),AE38*SIN(RADIANS($AC38)))+O38</f>
        <v>8.2827282963362734</v>
      </c>
      <c r="R38" s="226">
        <f t="shared" si="3"/>
        <v>33.700000000000003</v>
      </c>
      <c r="S38" s="227">
        <f t="shared" si="4"/>
        <v>2.5659090909090914</v>
      </c>
      <c r="T38" s="3"/>
      <c r="U38" s="3"/>
      <c r="V38" s="3"/>
      <c r="W38" s="3"/>
      <c r="X38" s="208">
        <f>$AG$36*COS(RADIANS($AF38))+$R$14-$AG$36</f>
        <v>33.700000000000003</v>
      </c>
      <c r="Y38" s="209"/>
      <c r="Z38" s="209"/>
      <c r="AA38" s="208">
        <f>$S$14+($AG$36*SIN(RADIANS($AF38)))</f>
        <v>2.5659090909090909</v>
      </c>
      <c r="AB38" s="210">
        <f t="shared" si="14"/>
        <v>4.3540845540516973</v>
      </c>
      <c r="AC38" s="210">
        <f t="shared" si="15"/>
        <v>14.185908503980615</v>
      </c>
      <c r="AD38" s="210">
        <f t="shared" si="16"/>
        <v>-5.4777393958772205</v>
      </c>
      <c r="AE38" s="210">
        <f t="shared" si="17"/>
        <v>33.79754265420506</v>
      </c>
      <c r="AF38" s="211">
        <v>90</v>
      </c>
      <c r="AG38" s="213"/>
    </row>
    <row r="39" spans="15:35" x14ac:dyDescent="0.25">
      <c r="O39" s="232"/>
      <c r="P39" s="236">
        <f t="shared" si="12"/>
        <v>32.249542121265961</v>
      </c>
      <c r="Q39" s="236">
        <f t="shared" si="13"/>
        <v>7.955260417704439</v>
      </c>
      <c r="R39" s="226">
        <f t="shared" si="3"/>
        <v>33.134314575050766</v>
      </c>
      <c r="S39" s="227">
        <f t="shared" si="4"/>
        <v>2.3315945158583289</v>
      </c>
      <c r="T39" s="3"/>
      <c r="U39" s="3"/>
      <c r="V39" s="3"/>
      <c r="W39" s="3"/>
      <c r="X39" s="208">
        <f>$AG$36*COS(RADIANS($AF39))+$R$14-$AG$36</f>
        <v>33.134314575050766</v>
      </c>
      <c r="Y39" s="209"/>
      <c r="Z39" s="209"/>
      <c r="AA39" s="208">
        <f>$S$14+($AG$36*SIN(RADIANS($AF39)))</f>
        <v>2.3315945158583289</v>
      </c>
      <c r="AB39" s="210">
        <f t="shared" si="14"/>
        <v>4.0251528328687414</v>
      </c>
      <c r="AC39" s="210">
        <f t="shared" si="15"/>
        <v>13.856976782797659</v>
      </c>
      <c r="AD39" s="210">
        <f t="shared" si="16"/>
        <v>-5.8066711170601764</v>
      </c>
      <c r="AE39" s="210">
        <f t="shared" si="17"/>
        <v>33.216248062428761</v>
      </c>
      <c r="AF39" s="211">
        <v>135</v>
      </c>
      <c r="AG39" s="213"/>
    </row>
    <row r="40" spans="15:35" x14ac:dyDescent="0.25">
      <c r="O40" s="232"/>
      <c r="P40" s="236">
        <f t="shared" si="12"/>
        <v>32.115263509322105</v>
      </c>
      <c r="Q40" s="236">
        <f t="shared" si="13"/>
        <v>7.3578722905578982</v>
      </c>
      <c r="R40" s="226">
        <f t="shared" si="3"/>
        <v>32.900000000000006</v>
      </c>
      <c r="S40" s="227">
        <f t="shared" si="4"/>
        <v>1.7659090909090907</v>
      </c>
      <c r="T40" s="3"/>
      <c r="U40" s="3"/>
      <c r="V40" s="3"/>
      <c r="W40" s="3"/>
      <c r="X40" s="208">
        <f>$AG$36*COS(RADIANS($AF40))+$R$14-$AG$36</f>
        <v>32.900000000000006</v>
      </c>
      <c r="Y40" s="209"/>
      <c r="Z40" s="209"/>
      <c r="AA40" s="208">
        <f>$S$14+($AG$36*SIN(RADIANS($AF40)))</f>
        <v>1.7659090909090909</v>
      </c>
      <c r="AB40" s="210">
        <f t="shared" si="14"/>
        <v>3.0724054549037176</v>
      </c>
      <c r="AC40" s="210">
        <f t="shared" si="15"/>
        <v>12.904229404832636</v>
      </c>
      <c r="AD40" s="210">
        <f t="shared" si="16"/>
        <v>-6.7594184950251996</v>
      </c>
      <c r="AE40" s="210">
        <f t="shared" si="17"/>
        <v>32.947358542337739</v>
      </c>
      <c r="AF40" s="211">
        <v>180</v>
      </c>
      <c r="AG40" s="213"/>
    </row>
    <row r="41" spans="15:35" x14ac:dyDescent="0.25">
      <c r="O41" s="232"/>
      <c r="P41" s="236">
        <f t="shared" si="12"/>
        <v>32.442731387953941</v>
      </c>
      <c r="Q41" s="236">
        <f t="shared" si="13"/>
        <v>6.8405057777784322</v>
      </c>
      <c r="R41" s="226">
        <f t="shared" si="3"/>
        <v>33.134314575050766</v>
      </c>
      <c r="S41" s="227">
        <f t="shared" si="4"/>
        <v>1.2002236659598529</v>
      </c>
      <c r="T41" s="3"/>
      <c r="U41" s="3"/>
      <c r="V41" s="3"/>
      <c r="W41" s="3"/>
      <c r="X41" s="208">
        <f>$AG$36*COS(RADIANS($AF41))+$R$14-$AG$36</f>
        <v>33.134314575050766</v>
      </c>
      <c r="Y41" s="209"/>
      <c r="Z41" s="209"/>
      <c r="AA41" s="208">
        <f>$S$14+($AG$36*SIN(RADIANS($AF41)))</f>
        <v>1.2002236659598529</v>
      </c>
      <c r="AB41" s="210">
        <f t="shared" si="14"/>
        <v>2.0745169545965432</v>
      </c>
      <c r="AC41" s="210">
        <f t="shared" si="15"/>
        <v>11.906340904525461</v>
      </c>
      <c r="AD41" s="210">
        <f t="shared" si="16"/>
        <v>-7.7573069953323746</v>
      </c>
      <c r="AE41" s="210">
        <f t="shared" si="17"/>
        <v>33.156045289008034</v>
      </c>
      <c r="AF41" s="211">
        <v>-135</v>
      </c>
      <c r="AG41" s="213"/>
    </row>
    <row r="42" spans="15:35" x14ac:dyDescent="0.25">
      <c r="O42" s="232"/>
      <c r="P42" s="236">
        <f t="shared" si="12"/>
        <v>33.040119515100479</v>
      </c>
      <c r="Q42" s="236">
        <f t="shared" si="13"/>
        <v>6.7062271658345782</v>
      </c>
      <c r="R42" s="226">
        <f t="shared" si="3"/>
        <v>33.70000000000001</v>
      </c>
      <c r="S42" s="227">
        <f t="shared" si="4"/>
        <v>0.96590909090909094</v>
      </c>
      <c r="T42" s="3"/>
      <c r="U42" s="3"/>
      <c r="V42" s="3"/>
      <c r="W42" s="3"/>
      <c r="X42" s="208">
        <f>$AG$36*COS(RADIANS($AF42))+$R$14-$AG$36</f>
        <v>33.700000000000003</v>
      </c>
      <c r="Y42" s="209"/>
      <c r="Z42" s="209"/>
      <c r="AA42" s="208">
        <f>$S$14+($AG$36*SIN(RADIANS($AF42)))</f>
        <v>0.96590909090909083</v>
      </c>
      <c r="AB42" s="210">
        <f t="shared" si="14"/>
        <v>1.6417616309636918</v>
      </c>
      <c r="AC42" s="210">
        <f t="shared" si="15"/>
        <v>11.47358558089261</v>
      </c>
      <c r="AD42" s="210">
        <f t="shared" si="16"/>
        <v>-8.1900623189652251</v>
      </c>
      <c r="AE42" s="210">
        <f t="shared" si="17"/>
        <v>33.713839596994902</v>
      </c>
      <c r="AF42" s="211">
        <v>-90</v>
      </c>
      <c r="AG42" s="213"/>
    </row>
    <row r="43" spans="15:35" x14ac:dyDescent="0.25">
      <c r="O43" s="232"/>
      <c r="P43" s="236">
        <f t="shared" si="12"/>
        <v>33.557486027879939</v>
      </c>
      <c r="Q43" s="236">
        <f t="shared" si="13"/>
        <v>7.0336950444664099</v>
      </c>
      <c r="R43" s="226">
        <f t="shared" si="3"/>
        <v>34.26568542494924</v>
      </c>
      <c r="S43" s="227">
        <f t="shared" si="4"/>
        <v>1.2002236659598529</v>
      </c>
      <c r="T43" s="3"/>
      <c r="U43" s="3"/>
      <c r="V43" s="3"/>
      <c r="W43" s="3"/>
      <c r="X43" s="208">
        <f>$AG$36*COS(RADIANS($AF43))+$R$14-$AG$36</f>
        <v>34.26568542494924</v>
      </c>
      <c r="Y43" s="209"/>
      <c r="Z43" s="209"/>
      <c r="AA43" s="208">
        <f>$S$14+($AG$36*SIN(RADIANS($AF43)))</f>
        <v>1.2002236659598529</v>
      </c>
      <c r="AB43" s="210">
        <f t="shared" si="14"/>
        <v>2.0060782932363925</v>
      </c>
      <c r="AC43" s="210">
        <f t="shared" si="15"/>
        <v>11.83790224316531</v>
      </c>
      <c r="AD43" s="210">
        <f t="shared" si="16"/>
        <v>-7.8257456566925256</v>
      </c>
      <c r="AE43" s="210">
        <f t="shared" si="17"/>
        <v>34.286699090024818</v>
      </c>
      <c r="AF43" s="211">
        <v>-45</v>
      </c>
      <c r="AG43" s="213"/>
    </row>
    <row r="44" spans="15:35" x14ac:dyDescent="0.25">
      <c r="O44" s="232"/>
      <c r="P44" s="236">
        <f t="shared" si="12"/>
        <v>33.691764639823802</v>
      </c>
      <c r="Q44" s="236">
        <f t="shared" si="13"/>
        <v>7.6310831716129508</v>
      </c>
      <c r="R44" s="228">
        <f t="shared" si="3"/>
        <v>34.5</v>
      </c>
      <c r="S44" s="229">
        <f t="shared" si="4"/>
        <v>1.7659090909090909</v>
      </c>
      <c r="T44" s="214"/>
      <c r="U44" s="214"/>
      <c r="V44" s="214"/>
      <c r="W44" s="214"/>
      <c r="X44" s="215">
        <f>$AG$36*COS(RADIANS($AF44))+$R$14-$AG$36</f>
        <v>34.5</v>
      </c>
      <c r="Y44" s="216"/>
      <c r="Z44" s="216"/>
      <c r="AA44" s="215">
        <f>$S$14+($AG$36*SIN(RADIANS($AF44)))</f>
        <v>1.7659090909090909</v>
      </c>
      <c r="AB44" s="217">
        <f t="shared" si="14"/>
        <v>2.9301714206885645</v>
      </c>
      <c r="AC44" s="217">
        <f t="shared" si="15"/>
        <v>12.761995370617482</v>
      </c>
      <c r="AD44" s="217">
        <f t="shared" si="16"/>
        <v>-6.9016525292403532</v>
      </c>
      <c r="AE44" s="217">
        <f t="shared" si="17"/>
        <v>34.545165145318897</v>
      </c>
      <c r="AF44" s="218">
        <v>0</v>
      </c>
      <c r="AG44" s="219"/>
    </row>
    <row r="45" spans="15:35" x14ac:dyDescent="0.25">
      <c r="O45" s="232"/>
      <c r="P45" s="236">
        <f t="shared" si="12"/>
        <v>-32.629862413127498</v>
      </c>
      <c r="Q45" s="236">
        <f t="shared" si="13"/>
        <v>-4.388496581686808</v>
      </c>
      <c r="R45" s="224">
        <f t="shared" si="3"/>
        <v>-32.9</v>
      </c>
      <c r="S45" s="225">
        <f t="shared" si="4"/>
        <v>1.2477272727272721</v>
      </c>
      <c r="T45" s="202"/>
      <c r="U45" s="202"/>
      <c r="V45" s="202"/>
      <c r="W45" s="202"/>
      <c r="X45" s="203">
        <f>$AG$45*COS(RADIANS(AF45))+$R$25+$AG$45</f>
        <v>-32.900000000000006</v>
      </c>
      <c r="Y45" s="220"/>
      <c r="Z45" s="220"/>
      <c r="AA45" s="203">
        <f>$S$25+($AG$45*SIN(RADIANS($AF45)))</f>
        <v>1.2477272727272726</v>
      </c>
      <c r="AB45" s="205">
        <f t="shared" si="14"/>
        <v>2.1718924607546541</v>
      </c>
      <c r="AC45" s="205">
        <f t="shared" si="15"/>
        <v>12.003716410683571</v>
      </c>
      <c r="AD45" s="205">
        <f t="shared" si="16"/>
        <v>-7.659931489174264</v>
      </c>
      <c r="AE45" s="205">
        <f t="shared" si="17"/>
        <v>32.923651427918919</v>
      </c>
      <c r="AF45" s="206">
        <v>0</v>
      </c>
      <c r="AG45" s="207">
        <f>ROUND($Z$25*$G$26/100,1)</f>
        <v>0.8</v>
      </c>
    </row>
    <row r="46" spans="15:35" x14ac:dyDescent="0.25">
      <c r="O46" s="232"/>
      <c r="P46" s="236">
        <f t="shared" si="12"/>
        <v>-32.957330291759334</v>
      </c>
      <c r="Q46" s="236">
        <f t="shared" si="13"/>
        <v>-3.871130068907342</v>
      </c>
      <c r="R46" s="226">
        <f t="shared" si="3"/>
        <v>-33.134314575050759</v>
      </c>
      <c r="S46" s="227">
        <f t="shared" si="4"/>
        <v>1.8134126976765104</v>
      </c>
      <c r="T46" s="3"/>
      <c r="U46" s="3"/>
      <c r="V46" s="3"/>
      <c r="W46" s="3"/>
      <c r="X46" s="208">
        <f>$AG$45*COS(RADIANS(AF46))+$R$25+$AG$45</f>
        <v>-33.134314575050766</v>
      </c>
      <c r="Y46" s="221"/>
      <c r="Z46" s="221"/>
      <c r="AA46" s="208">
        <f>$S$25+($AG$45*SIN(RADIANS($AF46)))</f>
        <v>1.8134126976765106</v>
      </c>
      <c r="AB46" s="210">
        <f t="shared" si="14"/>
        <v>3.1326238088989471</v>
      </c>
      <c r="AC46" s="210">
        <f t="shared" si="15"/>
        <v>12.964447758827864</v>
      </c>
      <c r="AD46" s="210">
        <f t="shared" si="16"/>
        <v>-6.6992001410299711</v>
      </c>
      <c r="AE46" s="210">
        <f t="shared" si="17"/>
        <v>33.183900734701396</v>
      </c>
      <c r="AF46" s="211">
        <v>45</v>
      </c>
      <c r="AG46" s="212" t="str">
        <f>CONCATENATE("r2=",$AG$45)</f>
        <v>r2=0,8</v>
      </c>
    </row>
    <row r="47" spans="15:35" x14ac:dyDescent="0.25">
      <c r="O47" s="232"/>
      <c r="P47" s="236">
        <f t="shared" si="12"/>
        <v>-33.554718418905871</v>
      </c>
      <c r="Q47" s="236">
        <f t="shared" si="13"/>
        <v>-3.7368514569634872</v>
      </c>
      <c r="R47" s="226">
        <f t="shared" si="3"/>
        <v>-33.700000000000003</v>
      </c>
      <c r="S47" s="227">
        <f t="shared" si="4"/>
        <v>2.0477272727272728</v>
      </c>
      <c r="T47" s="3"/>
      <c r="U47" s="3"/>
      <c r="V47" s="3"/>
      <c r="W47" s="3"/>
      <c r="X47" s="208">
        <f>$AG$45*COS(RADIANS(AF47))+$R$25+$AG$45</f>
        <v>-33.700000000000003</v>
      </c>
      <c r="Y47" s="221"/>
      <c r="Z47" s="221"/>
      <c r="AA47" s="208">
        <f>$S$25+($AG$45*SIN(RADIANS($AF47)))</f>
        <v>2.0477272727272728</v>
      </c>
      <c r="AB47" s="210">
        <f t="shared" si="14"/>
        <v>3.4772122388171303</v>
      </c>
      <c r="AC47" s="210">
        <f t="shared" si="15"/>
        <v>13.309036188746049</v>
      </c>
      <c r="AD47" s="210">
        <f t="shared" si="16"/>
        <v>-6.3546117111117875</v>
      </c>
      <c r="AE47" s="210">
        <f t="shared" si="17"/>
        <v>33.762156136471368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-34.072084931685332</v>
      </c>
      <c r="Q48" s="236">
        <f t="shared" si="13"/>
        <v>-4.0643193355953198</v>
      </c>
      <c r="R48" s="226">
        <f t="shared" si="3"/>
        <v>-34.26568542494924</v>
      </c>
      <c r="S48" s="227">
        <f t="shared" si="4"/>
        <v>1.8134126976765108</v>
      </c>
      <c r="T48" s="3"/>
      <c r="U48" s="3"/>
      <c r="V48" s="3"/>
      <c r="W48" s="3"/>
      <c r="X48" s="208">
        <f>$AG$45*COS(RADIANS(AF48))+$R$25+$AG$45</f>
        <v>-34.26568542494924</v>
      </c>
      <c r="Y48" s="221"/>
      <c r="Z48" s="221"/>
      <c r="AA48" s="208">
        <f>$S$25+($AG$45*SIN(RADIANS($AF48)))</f>
        <v>1.8134126976765108</v>
      </c>
      <c r="AB48" s="210">
        <f t="shared" si="14"/>
        <v>3.0293880106369691</v>
      </c>
      <c r="AC48" s="210">
        <f t="shared" si="15"/>
        <v>12.861211960565887</v>
      </c>
      <c r="AD48" s="210">
        <f t="shared" si="16"/>
        <v>-6.8024359392919482</v>
      </c>
      <c r="AE48" s="210">
        <f t="shared" si="17"/>
        <v>34.313636695250956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-34.206363543629195</v>
      </c>
      <c r="Q49" s="236">
        <f t="shared" si="13"/>
        <v>-4.6617074627418607</v>
      </c>
      <c r="R49" s="226">
        <f t="shared" si="3"/>
        <v>-34.5</v>
      </c>
      <c r="S49" s="227">
        <f t="shared" si="4"/>
        <v>1.2477272727272726</v>
      </c>
      <c r="T49" s="3"/>
      <c r="U49" s="3"/>
      <c r="V49" s="3"/>
      <c r="W49" s="3"/>
      <c r="X49" s="208">
        <f>$AG$45*COS(RADIANS(AF49))+$R$25+$AG$45</f>
        <v>-34.5</v>
      </c>
      <c r="Y49" s="221"/>
      <c r="Z49" s="221"/>
      <c r="AA49" s="208">
        <f>$S$25+($AG$45*SIN(RADIANS($AF49)))</f>
        <v>1.2477272727272726</v>
      </c>
      <c r="AB49" s="210">
        <f t="shared" si="14"/>
        <v>2.071256875288646</v>
      </c>
      <c r="AC49" s="210">
        <f t="shared" si="15"/>
        <v>11.903080825217565</v>
      </c>
      <c r="AD49" s="210">
        <f t="shared" si="16"/>
        <v>-7.7605670746402717</v>
      </c>
      <c r="AE49" s="210">
        <f t="shared" si="17"/>
        <v>34.522555284148758</v>
      </c>
      <c r="AF49" s="211">
        <v>180</v>
      </c>
      <c r="AG49" s="213"/>
    </row>
    <row r="50" spans="15:33" x14ac:dyDescent="0.25">
      <c r="O50" s="232"/>
      <c r="P50" s="236">
        <f t="shared" si="12"/>
        <v>-33.878895664997358</v>
      </c>
      <c r="Q50" s="236">
        <f t="shared" si="13"/>
        <v>-5.1790739755213275</v>
      </c>
      <c r="R50" s="226">
        <f t="shared" si="3"/>
        <v>-34.26568542494924</v>
      </c>
      <c r="S50" s="227">
        <f t="shared" si="4"/>
        <v>0.68204184777803445</v>
      </c>
      <c r="T50" s="3"/>
      <c r="U50" s="3"/>
      <c r="V50" s="3"/>
      <c r="W50" s="3"/>
      <c r="X50" s="208">
        <f>$AG$45*COS(RADIANS(AF50))+$R$25+$AG$45</f>
        <v>-34.26568542494924</v>
      </c>
      <c r="Y50" s="221"/>
      <c r="Z50" s="221"/>
      <c r="AA50" s="208">
        <f>$S$25+($AG$45*SIN(RADIANS($AF50)))</f>
        <v>0.68204184777803445</v>
      </c>
      <c r="AB50" s="210">
        <f t="shared" si="14"/>
        <v>1.140294124803565</v>
      </c>
      <c r="AC50" s="210">
        <f t="shared" si="15"/>
        <v>10.972118074732483</v>
      </c>
      <c r="AD50" s="210">
        <f t="shared" si="16"/>
        <v>-8.6915298251253521</v>
      </c>
      <c r="AE50" s="210">
        <f t="shared" si="17"/>
        <v>34.272472608840161</v>
      </c>
      <c r="AF50" s="211">
        <v>-135</v>
      </c>
      <c r="AG50" s="213"/>
    </row>
    <row r="51" spans="15:33" x14ac:dyDescent="0.25">
      <c r="O51" s="232"/>
      <c r="P51" s="236">
        <f t="shared" si="12"/>
        <v>-33.281507537850828</v>
      </c>
      <c r="Q51" s="236">
        <f t="shared" si="13"/>
        <v>-5.3133525874651832</v>
      </c>
      <c r="R51" s="226">
        <f t="shared" si="3"/>
        <v>-33.70000000000001</v>
      </c>
      <c r="S51" s="227">
        <f t="shared" si="4"/>
        <v>0.44772727272727264</v>
      </c>
      <c r="T51" s="3"/>
      <c r="U51" s="3"/>
      <c r="V51" s="3"/>
      <c r="W51" s="3"/>
      <c r="X51" s="208">
        <f>$AG$45*COS(RADIANS(AF51))+$R$25+$AG$45</f>
        <v>-33.700000000000003</v>
      </c>
      <c r="Y51" s="221"/>
      <c r="Z51" s="221"/>
      <c r="AA51" s="208">
        <f>$S$25+($AG$45*SIN(RADIANS($AF51)))</f>
        <v>0.44772727272727253</v>
      </c>
      <c r="AB51" s="210">
        <f t="shared" si="14"/>
        <v>0.76116836607952298</v>
      </c>
      <c r="AC51" s="210">
        <f t="shared" si="15"/>
        <v>10.592992316008441</v>
      </c>
      <c r="AD51" s="210">
        <f t="shared" si="16"/>
        <v>-9.0706555838493941</v>
      </c>
      <c r="AE51" s="210">
        <f t="shared" si="17"/>
        <v>33.702974048453711</v>
      </c>
      <c r="AF51" s="211">
        <v>-90</v>
      </c>
      <c r="AG51" s="213"/>
    </row>
    <row r="52" spans="15:33" x14ac:dyDescent="0.25">
      <c r="O52" s="232"/>
      <c r="P52" s="236">
        <f t="shared" si="12"/>
        <v>-32.764141025071353</v>
      </c>
      <c r="Q52" s="236">
        <f t="shared" si="13"/>
        <v>-4.9858847088333489</v>
      </c>
      <c r="R52" s="226">
        <f t="shared" si="3"/>
        <v>-33.134314575050766</v>
      </c>
      <c r="S52" s="227">
        <f t="shared" si="4"/>
        <v>0.68204184777803456</v>
      </c>
      <c r="T52" s="3"/>
      <c r="U52" s="3"/>
      <c r="V52" s="3"/>
      <c r="W52" s="3"/>
      <c r="X52" s="208">
        <f>$AG$45*COS(RADIANS(AF52))+$R$25+$AG$45</f>
        <v>-33.134314575050766</v>
      </c>
      <c r="Y52" s="221"/>
      <c r="Z52" s="221"/>
      <c r="AA52" s="208">
        <f>$S$25+($AG$45*SIN(RADIANS($AF52)))</f>
        <v>0.68204184777803456</v>
      </c>
      <c r="AB52" s="210">
        <f t="shared" si="14"/>
        <v>1.1792186439700068</v>
      </c>
      <c r="AC52" s="210">
        <f t="shared" si="15"/>
        <v>11.011042593898924</v>
      </c>
      <c r="AD52" s="210">
        <f t="shared" si="16"/>
        <v>-8.652605305958911</v>
      </c>
      <c r="AE52" s="210">
        <f t="shared" si="17"/>
        <v>33.141333458998631</v>
      </c>
      <c r="AF52" s="211">
        <v>-45</v>
      </c>
      <c r="AG52" s="213"/>
    </row>
    <row r="53" spans="15:33" x14ac:dyDescent="0.25">
      <c r="O53" s="232"/>
      <c r="P53" s="236">
        <f t="shared" si="12"/>
        <v>-32.629862413127498</v>
      </c>
      <c r="Q53" s="236">
        <f t="shared" si="13"/>
        <v>-4.388496581686808</v>
      </c>
      <c r="R53" s="228">
        <f t="shared" si="3"/>
        <v>-32.9</v>
      </c>
      <c r="S53" s="229">
        <f t="shared" si="4"/>
        <v>1.2477272727272721</v>
      </c>
      <c r="T53" s="214"/>
      <c r="U53" s="214"/>
      <c r="V53" s="214"/>
      <c r="W53" s="214"/>
      <c r="X53" s="215">
        <f>$AG$45*COS(RADIANS(AF53))+$R$25+$AG$45</f>
        <v>-32.900000000000006</v>
      </c>
      <c r="Y53" s="222"/>
      <c r="Z53" s="222"/>
      <c r="AA53" s="215">
        <f>$S$25+($AG$45*SIN(RADIANS($AF53)))</f>
        <v>1.2477272727272726</v>
      </c>
      <c r="AB53" s="217">
        <f t="shared" si="14"/>
        <v>2.1718924607546541</v>
      </c>
      <c r="AC53" s="217">
        <f t="shared" si="15"/>
        <v>12.003716410683571</v>
      </c>
      <c r="AD53" s="217">
        <f t="shared" si="16"/>
        <v>-7.659931489174264</v>
      </c>
      <c r="AE53" s="217">
        <f t="shared" si="17"/>
        <v>32.923651427918919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53"/>
  <sheetViews>
    <sheetView showGridLines="0" zoomScaleNormal="100" workbookViewId="0">
      <pane xSplit="33" ySplit="30" topLeftCell="AS31" activePane="bottomRight" state="frozen"/>
      <selection pane="topRight" activeCell="AH1" sqref="AH1"/>
      <selection pane="bottomLeft" activeCell="A31" sqref="A31"/>
      <selection pane="bottomRight" activeCell="P28" sqref="P28"/>
    </sheetView>
  </sheetViews>
  <sheetFormatPr defaultRowHeight="15" x14ac:dyDescent="0.25"/>
  <cols>
    <col min="6" max="6" width="12" bestFit="1" customWidth="1"/>
    <col min="7" max="7" width="8.140625" customWidth="1"/>
    <col min="8" max="8" width="7.5703125" customWidth="1"/>
    <col min="10" max="12" width="7.5703125" customWidth="1"/>
    <col min="13" max="13" width="10" customWidth="1"/>
    <col min="14" max="14" width="6" customWidth="1"/>
    <col min="15" max="15" width="8.5703125" bestFit="1" customWidth="1"/>
    <col min="16" max="17" width="8.140625" customWidth="1"/>
    <col min="18" max="18" width="8.140625" hidden="1" customWidth="1"/>
    <col min="19" max="19" width="7.7109375" hidden="1" customWidth="1"/>
    <col min="20" max="20" width="9.85546875" customWidth="1"/>
    <col min="21" max="21" width="12.5703125" bestFit="1" customWidth="1"/>
    <col min="22" max="22" width="8.140625" hidden="1" customWidth="1"/>
    <col min="23" max="23" width="5.7109375" hidden="1" customWidth="1"/>
    <col min="24" max="24" width="7.85546875" hidden="1" customWidth="1"/>
    <col min="25" max="25" width="3.140625" hidden="1" customWidth="1"/>
    <col min="26" max="26" width="7.5703125" hidden="1" customWidth="1"/>
    <col min="27" max="27" width="6" hidden="1" customWidth="1"/>
    <col min="28" max="28" width="7.85546875" hidden="1" customWidth="1"/>
    <col min="29" max="29" width="8.5703125" hidden="1" customWidth="1"/>
    <col min="30" max="30" width="8.28515625" hidden="1" customWidth="1"/>
    <col min="31" max="31" width="5.5703125" style="2" hidden="1" customWidth="1"/>
    <col min="32" max="32" width="4.5703125" hidden="1" customWidth="1"/>
    <col min="33" max="33" width="6.140625" hidden="1" customWidth="1"/>
    <col min="34" max="34" width="5.28515625" style="2" customWidth="1"/>
    <col min="35" max="36" width="9.140625" style="2"/>
  </cols>
  <sheetData>
    <row r="1" spans="15:31" ht="15.75" thickBot="1" x14ac:dyDescent="0.3">
      <c r="T1" s="8" t="s">
        <v>20</v>
      </c>
      <c r="U1" s="8" t="s">
        <v>21</v>
      </c>
      <c r="W1" s="8"/>
      <c r="X1" s="8"/>
      <c r="Y1" s="8"/>
      <c r="Z1" s="8"/>
      <c r="AA1" s="8"/>
      <c r="AB1" s="8"/>
      <c r="AC1" s="8"/>
      <c r="AD1" s="8"/>
      <c r="AE1" s="8"/>
    </row>
    <row r="2" spans="15:31" x14ac:dyDescent="0.25">
      <c r="O2" s="168" t="s">
        <v>9</v>
      </c>
      <c r="P2" s="250" t="s">
        <v>74</v>
      </c>
      <c r="Q2" s="251" t="s">
        <v>19</v>
      </c>
      <c r="R2" s="238" t="s">
        <v>2</v>
      </c>
      <c r="S2" s="174" t="s">
        <v>4</v>
      </c>
      <c r="T2" s="8" t="s">
        <v>25</v>
      </c>
      <c r="U2" s="8" t="s">
        <v>27</v>
      </c>
      <c r="V2" s="8" t="s">
        <v>69</v>
      </c>
      <c r="W2" s="8" t="s">
        <v>26</v>
      </c>
      <c r="X2" s="8" t="s">
        <v>3</v>
      </c>
      <c r="Y2" s="8"/>
      <c r="Z2" s="8" t="s">
        <v>30</v>
      </c>
      <c r="AA2" s="8" t="s">
        <v>22</v>
      </c>
      <c r="AB2" s="8" t="s">
        <v>73</v>
      </c>
      <c r="AC2" s="8" t="s">
        <v>7</v>
      </c>
      <c r="AD2" s="8" t="s">
        <v>6</v>
      </c>
      <c r="AE2" s="14" t="s">
        <v>45</v>
      </c>
    </row>
    <row r="3" spans="15:31" ht="15.75" thickBot="1" x14ac:dyDescent="0.3">
      <c r="O3" s="168"/>
      <c r="P3" s="252"/>
      <c r="Q3" s="253"/>
      <c r="R3" s="12"/>
      <c r="S3" s="175"/>
      <c r="T3" s="8"/>
      <c r="U3" s="15"/>
      <c r="V3" s="8"/>
      <c r="W3" s="8"/>
      <c r="X3" s="16"/>
      <c r="Y3" s="8"/>
      <c r="Z3" s="15"/>
      <c r="AA3" s="16"/>
      <c r="AB3" s="8"/>
      <c r="AC3" s="8"/>
      <c r="AD3" s="8"/>
      <c r="AE3" s="17"/>
    </row>
    <row r="4" spans="15:31" x14ac:dyDescent="0.25">
      <c r="O4" s="241">
        <v>-0.5</v>
      </c>
      <c r="P4" s="254">
        <f>ROUND(IF(R4&lt;0,-AE4*COS(RADIANS(AD4)),AE4*COS(RADIANS(AC4))),1)</f>
        <v>-27.6</v>
      </c>
      <c r="Q4" s="255">
        <f>ROUND(IF(R4&lt;0,AE4*SIN(RADIANS(AD4)),AE4*SIN(RADIANS($AC4)))+O4,1)</f>
        <v>-2.2999999999999998</v>
      </c>
      <c r="R4" s="210">
        <f>IF(X4&lt;0,-AE4*COS(RADIANS(AB4)),AE4*COS(RADIANS(AB4)))</f>
        <v>-27.545454545454547</v>
      </c>
      <c r="S4" s="173">
        <f>IF(X4&lt;0,AE4*SIN(RADIANS(AB4)),AE4*SIN(RADIANS(AB4)))</f>
        <v>2.4954545454545456</v>
      </c>
      <c r="T4" s="22">
        <v>1.02</v>
      </c>
      <c r="U4" s="267">
        <v>0.36599999999999999</v>
      </c>
      <c r="V4" s="20">
        <f>IF(Y4=1,$G$26*W4/100,V3+$G$26*W4/100)</f>
        <v>6.954545454545455</v>
      </c>
      <c r="W4" s="18">
        <f>T4*$G$22/16.5</f>
        <v>0.92727272727272736</v>
      </c>
      <c r="X4" s="21">
        <f>V4-$G$25/2</f>
        <v>-27.545454545454547</v>
      </c>
      <c r="Y4" s="19">
        <v>2</v>
      </c>
      <c r="Z4" s="18">
        <f t="shared" ref="Z4:Z25" si="0">U4*$G$22/16.5</f>
        <v>0.33272727272727276</v>
      </c>
      <c r="AA4" s="20">
        <f>$G$26*Z4/100</f>
        <v>2.4954545454545456</v>
      </c>
      <c r="AB4" s="22">
        <f>DEGREES(ATAN(AA4/(ABS(X4))))</f>
        <v>5.1765263748803045</v>
      </c>
      <c r="AC4" s="22">
        <f>DEGREES(ATAN(AA4/(ABS(X4))))+$G$24</f>
        <v>14.041627680597369</v>
      </c>
      <c r="AD4" s="22">
        <f>DEGREES(ATAN(AA4/(ABS(X4))))-$G$24</f>
        <v>-3.6885749308367606</v>
      </c>
      <c r="AE4" s="22">
        <f>SQRT(AA4*AA4+X4*X4)</f>
        <v>27.658260240010257</v>
      </c>
    </row>
    <row r="5" spans="15:31" x14ac:dyDescent="0.25">
      <c r="O5" s="241">
        <v>-0.5</v>
      </c>
      <c r="P5" s="256">
        <f t="shared" ref="P5:P24" si="1">ROUND(IF(R5&lt;0,-AE5*COS(RADIANS(AD5)),AE5*COS(RADIANS(AC5))),1)</f>
        <v>-20.9</v>
      </c>
      <c r="Q5" s="257">
        <f t="shared" ref="Q5:Q24" si="2">ROUND(IF(R5&lt;0,AE5*SIN(RADIANS(AD5)),AE5*SIN(RADIANS($AC5)))+O5,1)</f>
        <v>-0.1</v>
      </c>
      <c r="R5" s="210">
        <f t="shared" ref="R5:R53" si="3">IF(X5&lt;0,-AE5*COS(RADIANS(AB5)),AE5*COS(RADIANS(AB5)))</f>
        <v>-20.59090909090909</v>
      </c>
      <c r="S5" s="173">
        <f t="shared" ref="S5:S53" si="4">IF(X5&lt;0,AE5*SIN(RADIANS(AB5)),AE5*SIN(RADIANS(AB5)))</f>
        <v>3.5999999999999996</v>
      </c>
      <c r="T5" s="22">
        <v>1.02</v>
      </c>
      <c r="U5" s="267">
        <v>0.52800000000000002</v>
      </c>
      <c r="V5" s="20">
        <f>IF(Y5=1,$G$26*W5/100,V4+$G$26*W5/100)</f>
        <v>13.90909090909091</v>
      </c>
      <c r="W5" s="18">
        <f t="shared" ref="W5:W24" si="5">T5*$G$22/16.5</f>
        <v>0.92727272727272736</v>
      </c>
      <c r="X5" s="21">
        <f t="shared" ref="X5:X25" si="6">V5-$G$25/2</f>
        <v>-20.59090909090909</v>
      </c>
      <c r="Y5" s="19">
        <v>3</v>
      </c>
      <c r="Z5" s="18">
        <f t="shared" si="0"/>
        <v>0.48</v>
      </c>
      <c r="AA5" s="20">
        <f>$G$26*Z5/100</f>
        <v>3.6</v>
      </c>
      <c r="AB5" s="22">
        <f t="shared" ref="AB5:AB24" si="7">DEGREES(ATAN(AA5/(ABS(X5))))</f>
        <v>9.9170410697187616</v>
      </c>
      <c r="AC5" s="22">
        <f t="shared" ref="AC5:AC25" si="8">DEGREES(ATAN(AA5/(ABS(X5))))+$G$24</f>
        <v>18.782142375435825</v>
      </c>
      <c r="AD5" s="22">
        <f t="shared" ref="AD5:AD25" si="9">DEGREES(ATAN(AA5/(ABS(X5))))-$G$24</f>
        <v>1.0519397640016965</v>
      </c>
      <c r="AE5" s="22">
        <f>SQRT(AA5*AA5+X5*X5)</f>
        <v>20.903242265019141</v>
      </c>
    </row>
    <row r="6" spans="15:31" x14ac:dyDescent="0.25">
      <c r="O6" s="241">
        <v>-0.5</v>
      </c>
      <c r="P6" s="256">
        <f t="shared" si="1"/>
        <v>-14.2</v>
      </c>
      <c r="Q6" s="257">
        <f t="shared" si="2"/>
        <v>1.8</v>
      </c>
      <c r="R6" s="210">
        <f t="shared" si="3"/>
        <v>-13.636363636363635</v>
      </c>
      <c r="S6" s="173">
        <f t="shared" si="4"/>
        <v>4.5</v>
      </c>
      <c r="T6" s="22">
        <v>1.02</v>
      </c>
      <c r="U6" s="267">
        <v>0.66</v>
      </c>
      <c r="V6" s="20">
        <f>IF(Y6=1,$G$26*W6/100,V5+$G$26*W6/100)</f>
        <v>20.863636363636367</v>
      </c>
      <c r="W6" s="18">
        <f t="shared" si="5"/>
        <v>0.92727272727272736</v>
      </c>
      <c r="X6" s="21">
        <f t="shared" si="6"/>
        <v>-13.636363636363633</v>
      </c>
      <c r="Y6" s="19">
        <v>4</v>
      </c>
      <c r="Z6" s="18">
        <f t="shared" si="0"/>
        <v>0.6</v>
      </c>
      <c r="AA6" s="20">
        <f>$G$26*Z6/100</f>
        <v>4.5</v>
      </c>
      <c r="AB6" s="22">
        <f t="shared" si="7"/>
        <v>18.262889942194132</v>
      </c>
      <c r="AC6" s="22">
        <f t="shared" si="8"/>
        <v>27.127991247911197</v>
      </c>
      <c r="AD6" s="22">
        <f t="shared" si="9"/>
        <v>9.3977886364770669</v>
      </c>
      <c r="AE6" s="22">
        <f>SQRT(AA6*AA6+X6*X6)</f>
        <v>14.359680122591186</v>
      </c>
    </row>
    <row r="7" spans="15:31" x14ac:dyDescent="0.25">
      <c r="O7" s="241">
        <v>-0.5</v>
      </c>
      <c r="P7" s="256">
        <f t="shared" si="1"/>
        <v>-7.4</v>
      </c>
      <c r="Q7" s="257">
        <f t="shared" si="2"/>
        <v>3.6</v>
      </c>
      <c r="R7" s="210">
        <f t="shared" si="3"/>
        <v>-6.6818181818181799</v>
      </c>
      <c r="S7" s="173">
        <f t="shared" si="4"/>
        <v>5.1954545454545462</v>
      </c>
      <c r="T7" s="22">
        <v>1.02</v>
      </c>
      <c r="U7" s="267">
        <v>0.76200000000000001</v>
      </c>
      <c r="V7" s="20">
        <f>IF(Y7=1,$G$26*W7/100,V6+$G$26*W7/100)</f>
        <v>27.81818181818182</v>
      </c>
      <c r="W7" s="18">
        <f t="shared" si="5"/>
        <v>0.92727272727272736</v>
      </c>
      <c r="X7" s="21">
        <f t="shared" si="6"/>
        <v>-6.6818181818181799</v>
      </c>
      <c r="Y7" s="19">
        <v>5</v>
      </c>
      <c r="Z7" s="18">
        <f t="shared" si="0"/>
        <v>0.69272727272727275</v>
      </c>
      <c r="AA7" s="20">
        <f>$G$26*Z7/100</f>
        <v>5.1954545454545453</v>
      </c>
      <c r="AB7" s="22">
        <f t="shared" si="7"/>
        <v>37.866887596395408</v>
      </c>
      <c r="AC7" s="22">
        <f t="shared" si="8"/>
        <v>46.731988902112477</v>
      </c>
      <c r="AD7" s="22">
        <f t="shared" si="9"/>
        <v>29.001786290678343</v>
      </c>
      <c r="AE7" s="22">
        <f>SQRT(AA7*AA7+X7*X7)</f>
        <v>8.4640086335471274</v>
      </c>
    </row>
    <row r="8" spans="15:31" x14ac:dyDescent="0.25">
      <c r="O8" s="241">
        <v>-0.8</v>
      </c>
      <c r="P8" s="256">
        <f t="shared" si="1"/>
        <v>-0.7</v>
      </c>
      <c r="Q8" s="257">
        <f t="shared" si="2"/>
        <v>5.2</v>
      </c>
      <c r="R8" s="210">
        <f t="shared" si="3"/>
        <v>0.27272727272727387</v>
      </c>
      <c r="S8" s="173">
        <f t="shared" si="4"/>
        <v>6.0136363636363637</v>
      </c>
      <c r="T8" s="22">
        <v>1.02</v>
      </c>
      <c r="U8" s="267">
        <v>0.88200000000000001</v>
      </c>
      <c r="V8" s="20">
        <f>IF(Y8=1,$G$26*W8/100,V7+$G$26*W8/100)</f>
        <v>34.772727272727273</v>
      </c>
      <c r="W8" s="18">
        <f t="shared" si="5"/>
        <v>0.92727272727272736</v>
      </c>
      <c r="X8" s="21">
        <f t="shared" si="6"/>
        <v>0.27272727272727337</v>
      </c>
      <c r="Y8" s="19">
        <v>6</v>
      </c>
      <c r="Z8" s="18">
        <f t="shared" si="0"/>
        <v>0.80181818181818187</v>
      </c>
      <c r="AA8" s="20">
        <f>$G$26*Z8/100</f>
        <v>6.0136363636363637</v>
      </c>
      <c r="AB8" s="22">
        <f t="shared" si="7"/>
        <v>87.40333121236452</v>
      </c>
      <c r="AC8" s="22">
        <f t="shared" si="8"/>
        <v>96.268432518081582</v>
      </c>
      <c r="AD8" s="22">
        <f t="shared" si="9"/>
        <v>78.538229906647459</v>
      </c>
      <c r="AE8" s="22">
        <f>SQRT(AA8*AA8+X8*X8)</f>
        <v>6.0198174789057219</v>
      </c>
    </row>
    <row r="9" spans="15:31" x14ac:dyDescent="0.25">
      <c r="O9" s="241">
        <v>-0.5</v>
      </c>
      <c r="P9" s="256">
        <f t="shared" si="1"/>
        <v>6.2</v>
      </c>
      <c r="Q9" s="257">
        <f t="shared" si="2"/>
        <v>6.4</v>
      </c>
      <c r="R9" s="210">
        <f t="shared" si="3"/>
        <v>7.2272727272727257</v>
      </c>
      <c r="S9" s="173">
        <f t="shared" si="4"/>
        <v>5.877272727272727</v>
      </c>
      <c r="T9" s="22">
        <v>1.02</v>
      </c>
      <c r="U9" s="267">
        <v>0.86199999999999999</v>
      </c>
      <c r="V9" s="20">
        <f>IF(Y9=1,$G$26*W9/100,V8+$G$26*W9/100)</f>
        <v>41.727272727272727</v>
      </c>
      <c r="W9" s="18">
        <f t="shared" si="5"/>
        <v>0.92727272727272736</v>
      </c>
      <c r="X9" s="21">
        <f t="shared" si="6"/>
        <v>7.2272727272727266</v>
      </c>
      <c r="Y9" s="19">
        <v>7</v>
      </c>
      <c r="Z9" s="18">
        <f t="shared" si="0"/>
        <v>0.78363636363636358</v>
      </c>
      <c r="AA9" s="20">
        <f>$G$26*Z9/100</f>
        <v>5.8772727272727261</v>
      </c>
      <c r="AB9" s="22">
        <f t="shared" si="7"/>
        <v>39.11826949876081</v>
      </c>
      <c r="AC9" s="22">
        <f t="shared" si="8"/>
        <v>47.983370804477872</v>
      </c>
      <c r="AD9" s="22">
        <f t="shared" si="9"/>
        <v>30.253168193043745</v>
      </c>
      <c r="AE9" s="22">
        <f>SQRT(AA9*AA9+X9*X9)</f>
        <v>9.3153532292191663</v>
      </c>
    </row>
    <row r="10" spans="15:31" x14ac:dyDescent="0.25">
      <c r="O10" s="241">
        <v>-0.5</v>
      </c>
      <c r="P10" s="256">
        <f t="shared" si="1"/>
        <v>13.1</v>
      </c>
      <c r="Q10" s="257">
        <f t="shared" si="2"/>
        <v>7.6</v>
      </c>
      <c r="R10" s="210">
        <f t="shared" si="3"/>
        <v>14.18181818181818</v>
      </c>
      <c r="S10" s="173">
        <f t="shared" si="4"/>
        <v>5.9454545454545462</v>
      </c>
      <c r="T10" s="22">
        <v>1.02</v>
      </c>
      <c r="U10" s="267">
        <v>0.872</v>
      </c>
      <c r="V10" s="20">
        <f>IF(Y10=1,$G$26*W10/100,V9+$G$26*W10/100)</f>
        <v>48.68181818181818</v>
      </c>
      <c r="W10" s="18">
        <f t="shared" si="5"/>
        <v>0.92727272727272736</v>
      </c>
      <c r="X10" s="21">
        <f t="shared" si="6"/>
        <v>14.18181818181818</v>
      </c>
      <c r="Y10" s="19">
        <v>8</v>
      </c>
      <c r="Z10" s="18">
        <f t="shared" si="0"/>
        <v>0.79272727272727272</v>
      </c>
      <c r="AA10" s="20">
        <f>$G$26*Z10/100</f>
        <v>5.9454545454545453</v>
      </c>
      <c r="AB10" s="22">
        <f t="shared" si="7"/>
        <v>22.744930570992722</v>
      </c>
      <c r="AC10" s="22">
        <f t="shared" si="8"/>
        <v>31.610031876709787</v>
      </c>
      <c r="AD10" s="22">
        <f t="shared" si="9"/>
        <v>13.879829265275657</v>
      </c>
      <c r="AE10" s="22">
        <f>SQRT(AA10*AA10+X10*X10)</f>
        <v>15.377659012158347</v>
      </c>
    </row>
    <row r="11" spans="15:31" x14ac:dyDescent="0.25">
      <c r="O11" s="241">
        <v>-0.5</v>
      </c>
      <c r="P11" s="256">
        <f t="shared" si="1"/>
        <v>20</v>
      </c>
      <c r="Q11" s="257">
        <f t="shared" si="2"/>
        <v>8.4</v>
      </c>
      <c r="R11" s="210">
        <f t="shared" si="3"/>
        <v>21.13636363636363</v>
      </c>
      <c r="S11" s="173">
        <f t="shared" si="4"/>
        <v>5.6727272727272711</v>
      </c>
      <c r="T11" s="22">
        <v>1.02</v>
      </c>
      <c r="U11" s="267">
        <v>0.83199999999999996</v>
      </c>
      <c r="V11" s="20">
        <f>IF(Y11=1,$G$26*W11/100,V10+$G$26*W11/100)</f>
        <v>55.636363636363633</v>
      </c>
      <c r="W11" s="18">
        <f t="shared" si="5"/>
        <v>0.92727272727272736</v>
      </c>
      <c r="X11" s="21">
        <f t="shared" si="6"/>
        <v>21.136363636363633</v>
      </c>
      <c r="Y11" s="19">
        <v>9</v>
      </c>
      <c r="Z11" s="18">
        <f t="shared" si="0"/>
        <v>0.75636363636363624</v>
      </c>
      <c r="AA11" s="20">
        <f>$G$26*Z11/100</f>
        <v>5.6727272727272711</v>
      </c>
      <c r="AB11" s="22">
        <f t="shared" si="7"/>
        <v>15.023406790857528</v>
      </c>
      <c r="AC11" s="22">
        <f t="shared" si="8"/>
        <v>23.888508096574594</v>
      </c>
      <c r="AD11" s="22">
        <f t="shared" si="9"/>
        <v>6.1583054851404633</v>
      </c>
      <c r="AE11" s="22">
        <f>SQRT(AA11*AA11+X11*X11)</f>
        <v>21.884371192230738</v>
      </c>
    </row>
    <row r="12" spans="15:31" x14ac:dyDescent="0.25">
      <c r="O12" s="241">
        <v>-0.5</v>
      </c>
      <c r="P12" s="256">
        <f t="shared" si="1"/>
        <v>27</v>
      </c>
      <c r="Q12" s="257">
        <f t="shared" si="2"/>
        <v>8.5</v>
      </c>
      <c r="R12" s="210">
        <f t="shared" si="3"/>
        <v>28.090909090909086</v>
      </c>
      <c r="S12" s="173">
        <f t="shared" si="4"/>
        <v>4.7727272727272716</v>
      </c>
      <c r="T12" s="22">
        <v>1.02</v>
      </c>
      <c r="U12" s="267">
        <v>0.7</v>
      </c>
      <c r="V12" s="20">
        <f>IF(Y12=1,$G$26*W12/100,V11+$G$26*W12/100)</f>
        <v>62.590909090909086</v>
      </c>
      <c r="W12" s="18">
        <f t="shared" si="5"/>
        <v>0.92727272727272736</v>
      </c>
      <c r="X12" s="21">
        <f t="shared" si="6"/>
        <v>28.090909090909086</v>
      </c>
      <c r="Y12" s="19">
        <v>10</v>
      </c>
      <c r="Z12" s="18">
        <f t="shared" si="0"/>
        <v>0.63636363636363635</v>
      </c>
      <c r="AA12" s="20">
        <f>$G$26*Z12/100</f>
        <v>4.7727272727272725</v>
      </c>
      <c r="AB12" s="22">
        <f t="shared" si="7"/>
        <v>9.6426387787692551</v>
      </c>
      <c r="AC12" s="22">
        <f t="shared" si="8"/>
        <v>18.507740084486322</v>
      </c>
      <c r="AD12" s="22">
        <f t="shared" si="9"/>
        <v>0.77753747305219001</v>
      </c>
      <c r="AE12" s="22">
        <f t="shared" ref="AE12:AE25" si="10">SQRT(AA12*AA12+X12*X12)</f>
        <v>28.493474677082705</v>
      </c>
    </row>
    <row r="13" spans="15:31" x14ac:dyDescent="0.25">
      <c r="O13" s="241">
        <v>-0.5</v>
      </c>
      <c r="P13" s="256">
        <f t="shared" si="1"/>
        <v>30.6</v>
      </c>
      <c r="Q13" s="257">
        <f t="shared" si="2"/>
        <v>7.9</v>
      </c>
      <c r="R13" s="210">
        <f t="shared" si="3"/>
        <v>31.554545454545444</v>
      </c>
      <c r="S13" s="173">
        <f t="shared" si="4"/>
        <v>3.5318181818181813</v>
      </c>
      <c r="T13" s="18">
        <v>0.50800000000000001</v>
      </c>
      <c r="U13" s="267">
        <v>0.51800000000000002</v>
      </c>
      <c r="V13" s="20">
        <f>IF(Y13=1,$G$26*W13/100,V12+$G$26*W13/100)</f>
        <v>66.054545454545448</v>
      </c>
      <c r="W13" s="18">
        <f t="shared" si="5"/>
        <v>0.46181818181818185</v>
      </c>
      <c r="X13" s="21">
        <f t="shared" si="6"/>
        <v>31.554545454545448</v>
      </c>
      <c r="Y13" s="19">
        <v>11</v>
      </c>
      <c r="Z13" s="18">
        <f t="shared" si="0"/>
        <v>0.47090909090909094</v>
      </c>
      <c r="AA13" s="21">
        <f>$G$26*Z13/100</f>
        <v>3.5318181818181817</v>
      </c>
      <c r="AB13" s="22">
        <f t="shared" si="7"/>
        <v>6.3863870525575228</v>
      </c>
      <c r="AC13" s="22">
        <f t="shared" si="8"/>
        <v>15.251488358274589</v>
      </c>
      <c r="AD13" s="22">
        <f t="shared" si="9"/>
        <v>-2.4787142531595423</v>
      </c>
      <c r="AE13" s="22">
        <f t="shared" si="10"/>
        <v>31.75158387407463</v>
      </c>
    </row>
    <row r="14" spans="15:31" ht="15.75" x14ac:dyDescent="0.25">
      <c r="O14" s="234">
        <v>0</v>
      </c>
      <c r="P14" s="258">
        <f>P36</f>
        <v>33.815718339748493</v>
      </c>
      <c r="Q14" s="259">
        <f>Q36</f>
        <v>7.0615598902900203</v>
      </c>
      <c r="R14" s="210">
        <f t="shared" si="3"/>
        <v>34.5</v>
      </c>
      <c r="S14" s="173">
        <f t="shared" si="4"/>
        <v>1.7659090909090909</v>
      </c>
      <c r="T14" s="23"/>
      <c r="U14" s="24">
        <v>0.1</v>
      </c>
      <c r="V14" s="25">
        <f>G25</f>
        <v>69</v>
      </c>
      <c r="W14" s="18">
        <f t="shared" si="5"/>
        <v>0</v>
      </c>
      <c r="X14" s="21">
        <f t="shared" si="6"/>
        <v>34.5</v>
      </c>
      <c r="Y14" s="26">
        <v>12</v>
      </c>
      <c r="Z14" s="18">
        <f>U14*$G$22/16.5</f>
        <v>9.0909090909090912E-2</v>
      </c>
      <c r="AA14" s="240">
        <f>AA13-(AA13-AA15)/2</f>
        <v>1.7659090909090909</v>
      </c>
      <c r="AB14" s="22">
        <f t="shared" si="7"/>
        <v>2.9301714206885645</v>
      </c>
      <c r="AC14" s="22">
        <f t="shared" si="8"/>
        <v>11.79527272640563</v>
      </c>
      <c r="AD14" s="22">
        <f t="shared" si="9"/>
        <v>-5.9349298850285006</v>
      </c>
      <c r="AE14" s="22">
        <f t="shared" si="10"/>
        <v>34.545165145318897</v>
      </c>
    </row>
    <row r="15" spans="15:31" x14ac:dyDescent="0.25">
      <c r="O15" s="234">
        <v>0</v>
      </c>
      <c r="P15" s="260">
        <f t="shared" si="1"/>
        <v>30.7</v>
      </c>
      <c r="Q15" s="261">
        <f t="shared" si="2"/>
        <v>4.8</v>
      </c>
      <c r="R15" s="210">
        <f t="shared" si="3"/>
        <v>31.036363636363632</v>
      </c>
      <c r="S15" s="173">
        <f t="shared" si="4"/>
        <v>0</v>
      </c>
      <c r="T15" s="27">
        <v>0.50800000000000001</v>
      </c>
      <c r="U15" s="28">
        <v>0</v>
      </c>
      <c r="V15" s="29">
        <f>IF(Y15=11,$G$25-$G$26*W15/100,V14-$G$26*W15/100)</f>
        <v>65.536363636363632</v>
      </c>
      <c r="W15" s="18">
        <f t="shared" si="5"/>
        <v>0.46181818181818185</v>
      </c>
      <c r="X15" s="21">
        <f t="shared" si="6"/>
        <v>31.036363636363632</v>
      </c>
      <c r="Y15" s="28">
        <v>11</v>
      </c>
      <c r="Z15" s="18">
        <f t="shared" si="0"/>
        <v>0</v>
      </c>
      <c r="AA15" s="30">
        <f t="shared" ref="AA15:AA24" si="11">$G$26*Z15/100</f>
        <v>0</v>
      </c>
      <c r="AB15" s="22">
        <f t="shared" si="7"/>
        <v>0</v>
      </c>
      <c r="AC15" s="22">
        <f t="shared" si="8"/>
        <v>8.8651013057170651</v>
      </c>
      <c r="AD15" s="22">
        <f t="shared" si="9"/>
        <v>-8.8651013057170651</v>
      </c>
      <c r="AE15" s="22">
        <f t="shared" si="10"/>
        <v>31.036363636363632</v>
      </c>
    </row>
    <row r="16" spans="15:31" x14ac:dyDescent="0.25">
      <c r="O16" s="234">
        <v>0</v>
      </c>
      <c r="P16" s="260">
        <f t="shared" si="1"/>
        <v>27.2</v>
      </c>
      <c r="Q16" s="261">
        <f t="shared" si="2"/>
        <v>4.2</v>
      </c>
      <c r="R16" s="210">
        <f t="shared" si="3"/>
        <v>27.572727272727271</v>
      </c>
      <c r="S16" s="173">
        <f t="shared" si="4"/>
        <v>0</v>
      </c>
      <c r="T16" s="27">
        <v>0.50800000000000001</v>
      </c>
      <c r="U16" s="28">
        <v>0</v>
      </c>
      <c r="V16" s="29">
        <f>IF(Y16=11,$G$25-$G$26*W16/100,V15-$G$26*W16/100)</f>
        <v>62.072727272727271</v>
      </c>
      <c r="W16" s="18">
        <f t="shared" si="5"/>
        <v>0.46181818181818185</v>
      </c>
      <c r="X16" s="21">
        <f t="shared" si="6"/>
        <v>27.572727272727271</v>
      </c>
      <c r="Y16" s="28">
        <v>10</v>
      </c>
      <c r="Z16" s="18">
        <f t="shared" si="0"/>
        <v>0</v>
      </c>
      <c r="AA16" s="29">
        <f t="shared" si="11"/>
        <v>0</v>
      </c>
      <c r="AB16" s="22">
        <f t="shared" si="7"/>
        <v>0</v>
      </c>
      <c r="AC16" s="22">
        <f t="shared" si="8"/>
        <v>8.8651013057170651</v>
      </c>
      <c r="AD16" s="22">
        <f t="shared" si="9"/>
        <v>-8.8651013057170651</v>
      </c>
      <c r="AE16" s="22">
        <f t="shared" si="10"/>
        <v>27.572727272727271</v>
      </c>
    </row>
    <row r="17" spans="2:32" x14ac:dyDescent="0.25">
      <c r="O17" s="234">
        <v>0</v>
      </c>
      <c r="P17" s="260">
        <f t="shared" si="1"/>
        <v>20.399999999999999</v>
      </c>
      <c r="Q17" s="261">
        <f t="shared" si="2"/>
        <v>3.2</v>
      </c>
      <c r="R17" s="210">
        <f t="shared" si="3"/>
        <v>20.618181818181817</v>
      </c>
      <c r="S17" s="173">
        <f t="shared" si="4"/>
        <v>0</v>
      </c>
      <c r="T17" s="28">
        <v>1.02</v>
      </c>
      <c r="U17" s="28">
        <v>0</v>
      </c>
      <c r="V17" s="29">
        <f>IF(Y17=11,$G$25-$G$26*W17/100,V16-$G$26*W17/100)</f>
        <v>55.118181818181817</v>
      </c>
      <c r="W17" s="18">
        <f t="shared" si="5"/>
        <v>0.92727272727272736</v>
      </c>
      <c r="X17" s="21">
        <f t="shared" si="6"/>
        <v>20.618181818181817</v>
      </c>
      <c r="Y17" s="28">
        <v>9</v>
      </c>
      <c r="Z17" s="18">
        <f t="shared" si="0"/>
        <v>0</v>
      </c>
      <c r="AA17" s="29">
        <f t="shared" si="11"/>
        <v>0</v>
      </c>
      <c r="AB17" s="22">
        <f t="shared" si="7"/>
        <v>0</v>
      </c>
      <c r="AC17" s="22">
        <f t="shared" si="8"/>
        <v>8.8651013057170651</v>
      </c>
      <c r="AD17" s="22">
        <f t="shared" si="9"/>
        <v>-8.8651013057170651</v>
      </c>
      <c r="AE17" s="22">
        <f t="shared" si="10"/>
        <v>20.618181818181817</v>
      </c>
    </row>
    <row r="18" spans="2:32" x14ac:dyDescent="0.25">
      <c r="O18" s="234">
        <v>0</v>
      </c>
      <c r="P18" s="260">
        <f t="shared" si="1"/>
        <v>13.5</v>
      </c>
      <c r="Q18" s="261">
        <f t="shared" si="2"/>
        <v>2.1</v>
      </c>
      <c r="R18" s="210">
        <f t="shared" si="3"/>
        <v>13.663636363636364</v>
      </c>
      <c r="S18" s="173">
        <f t="shared" si="4"/>
        <v>0</v>
      </c>
      <c r="T18" s="28">
        <v>1.02</v>
      </c>
      <c r="U18" s="28">
        <v>0</v>
      </c>
      <c r="V18" s="29">
        <f>IF(Y18=11,$G$25-$G$26*W18/100,V17-$G$26*W18/100)</f>
        <v>48.163636363636364</v>
      </c>
      <c r="W18" s="18">
        <f t="shared" si="5"/>
        <v>0.92727272727272736</v>
      </c>
      <c r="X18" s="21">
        <f t="shared" si="6"/>
        <v>13.663636363636364</v>
      </c>
      <c r="Y18" s="28">
        <v>8</v>
      </c>
      <c r="Z18" s="18">
        <f t="shared" si="0"/>
        <v>0</v>
      </c>
      <c r="AA18" s="29">
        <f t="shared" si="11"/>
        <v>0</v>
      </c>
      <c r="AB18" s="22">
        <f t="shared" si="7"/>
        <v>0</v>
      </c>
      <c r="AC18" s="22">
        <f t="shared" si="8"/>
        <v>8.8651013057170651</v>
      </c>
      <c r="AD18" s="22">
        <f t="shared" si="9"/>
        <v>-8.8651013057170651</v>
      </c>
      <c r="AE18" s="22">
        <f t="shared" si="10"/>
        <v>13.663636363636364</v>
      </c>
    </row>
    <row r="19" spans="2:32" x14ac:dyDescent="0.25">
      <c r="O19" s="234">
        <v>0</v>
      </c>
      <c r="P19" s="260">
        <f t="shared" si="1"/>
        <v>6.6</v>
      </c>
      <c r="Q19" s="261">
        <f t="shared" si="2"/>
        <v>1</v>
      </c>
      <c r="R19" s="210">
        <f t="shared" si="3"/>
        <v>6.7090909090909108</v>
      </c>
      <c r="S19" s="173">
        <f t="shared" si="4"/>
        <v>0</v>
      </c>
      <c r="T19" s="28">
        <v>1.02</v>
      </c>
      <c r="U19" s="28">
        <v>0</v>
      </c>
      <c r="V19" s="29">
        <f>IF(Y19=11,$G$25-$G$26*W19/100,V18-$G$26*W19/100)</f>
        <v>41.209090909090911</v>
      </c>
      <c r="W19" s="18">
        <f t="shared" si="5"/>
        <v>0.92727272727272736</v>
      </c>
      <c r="X19" s="21">
        <f t="shared" si="6"/>
        <v>6.7090909090909108</v>
      </c>
      <c r="Y19" s="28">
        <v>7</v>
      </c>
      <c r="Z19" s="18">
        <f t="shared" si="0"/>
        <v>0</v>
      </c>
      <c r="AA19" s="29">
        <f t="shared" si="11"/>
        <v>0</v>
      </c>
      <c r="AB19" s="22">
        <f t="shared" si="7"/>
        <v>0</v>
      </c>
      <c r="AC19" s="22">
        <f t="shared" si="8"/>
        <v>8.8651013057170651</v>
      </c>
      <c r="AD19" s="22">
        <f t="shared" si="9"/>
        <v>-8.8651013057170651</v>
      </c>
      <c r="AE19" s="22">
        <f t="shared" si="10"/>
        <v>6.7090909090909108</v>
      </c>
    </row>
    <row r="20" spans="2:32" x14ac:dyDescent="0.25">
      <c r="O20" s="234">
        <v>0</v>
      </c>
      <c r="P20" s="260">
        <f t="shared" si="1"/>
        <v>-0.2</v>
      </c>
      <c r="Q20" s="261">
        <f t="shared" si="2"/>
        <v>0</v>
      </c>
      <c r="R20" s="210">
        <f t="shared" si="3"/>
        <v>-0.24545454545454248</v>
      </c>
      <c r="S20" s="173">
        <f t="shared" si="4"/>
        <v>0</v>
      </c>
      <c r="T20" s="28">
        <v>1.02</v>
      </c>
      <c r="U20" s="28">
        <v>0</v>
      </c>
      <c r="V20" s="29">
        <f>IF(Y20=11,$G$25-$G$26*W20/100,V19-$G$26*W20/100)</f>
        <v>34.254545454545458</v>
      </c>
      <c r="W20" s="18">
        <f t="shared" si="5"/>
        <v>0.92727272727272736</v>
      </c>
      <c r="X20" s="21">
        <f t="shared" si="6"/>
        <v>-0.24545454545454248</v>
      </c>
      <c r="Y20" s="28">
        <v>6</v>
      </c>
      <c r="Z20" s="18">
        <f t="shared" si="0"/>
        <v>0</v>
      </c>
      <c r="AA20" s="29">
        <f t="shared" si="11"/>
        <v>0</v>
      </c>
      <c r="AB20" s="22">
        <f t="shared" si="7"/>
        <v>0</v>
      </c>
      <c r="AC20" s="22">
        <f t="shared" si="8"/>
        <v>8.8651013057170651</v>
      </c>
      <c r="AD20" s="22">
        <f t="shared" si="9"/>
        <v>-8.8651013057170651</v>
      </c>
      <c r="AE20" s="22">
        <f t="shared" si="10"/>
        <v>0.24545454545454248</v>
      </c>
    </row>
    <row r="21" spans="2:32" ht="15.75" x14ac:dyDescent="0.25">
      <c r="B21" s="248" t="s">
        <v>78</v>
      </c>
      <c r="O21" s="234">
        <v>0</v>
      </c>
      <c r="P21" s="260">
        <f t="shared" si="1"/>
        <v>-7.1</v>
      </c>
      <c r="Q21" s="261">
        <f t="shared" si="2"/>
        <v>-1.1000000000000001</v>
      </c>
      <c r="R21" s="210">
        <f t="shared" si="3"/>
        <v>-7.1999999999999957</v>
      </c>
      <c r="S21" s="173">
        <f t="shared" si="4"/>
        <v>0</v>
      </c>
      <c r="T21" s="28">
        <v>1.02</v>
      </c>
      <c r="U21" s="28">
        <v>0</v>
      </c>
      <c r="V21" s="29">
        <f>IF(Y21=11,$G$25-$G$26*W21/100,V20-$G$26*W21/100)</f>
        <v>27.300000000000004</v>
      </c>
      <c r="W21" s="18">
        <f t="shared" si="5"/>
        <v>0.92727272727272736</v>
      </c>
      <c r="X21" s="21">
        <f t="shared" si="6"/>
        <v>-7.1999999999999957</v>
      </c>
      <c r="Y21" s="28">
        <v>5</v>
      </c>
      <c r="Z21" s="18">
        <f t="shared" si="0"/>
        <v>0</v>
      </c>
      <c r="AA21" s="29">
        <f t="shared" si="11"/>
        <v>0</v>
      </c>
      <c r="AB21" s="22">
        <f t="shared" si="7"/>
        <v>0</v>
      </c>
      <c r="AC21" s="22">
        <f t="shared" si="8"/>
        <v>8.8651013057170651</v>
      </c>
      <c r="AD21" s="22">
        <f t="shared" si="9"/>
        <v>-8.8651013057170651</v>
      </c>
      <c r="AE21" s="22">
        <f t="shared" si="10"/>
        <v>7.1999999999999957</v>
      </c>
    </row>
    <row r="22" spans="2:32" x14ac:dyDescent="0.25">
      <c r="B22" s="147" t="s">
        <v>1</v>
      </c>
      <c r="C22" s="148" t="s">
        <v>61</v>
      </c>
      <c r="D22" s="148" t="s">
        <v>5</v>
      </c>
      <c r="F22" s="149" t="s">
        <v>8</v>
      </c>
      <c r="G22" s="150">
        <f>'Мощ-Диаметр-Ширина-Шаг-Угол'!O18</f>
        <v>15</v>
      </c>
      <c r="O22" s="234">
        <v>0</v>
      </c>
      <c r="P22" s="260">
        <f t="shared" si="1"/>
        <v>-14</v>
      </c>
      <c r="Q22" s="261">
        <f t="shared" si="2"/>
        <v>-2.2000000000000002</v>
      </c>
      <c r="R22" s="210">
        <f t="shared" si="3"/>
        <v>-14.154545454545449</v>
      </c>
      <c r="S22" s="173">
        <f t="shared" si="4"/>
        <v>0</v>
      </c>
      <c r="T22" s="28">
        <v>1.02</v>
      </c>
      <c r="U22" s="28">
        <v>0</v>
      </c>
      <c r="V22" s="29">
        <f>IF(Y22=11,$G$25-$G$26*W22/100,V21-$G$26*W22/100)</f>
        <v>20.345454545454551</v>
      </c>
      <c r="W22" s="18">
        <f t="shared" si="5"/>
        <v>0.92727272727272736</v>
      </c>
      <c r="X22" s="21">
        <f t="shared" si="6"/>
        <v>-14.154545454545449</v>
      </c>
      <c r="Y22" s="28">
        <v>4</v>
      </c>
      <c r="Z22" s="18">
        <f t="shared" si="0"/>
        <v>0</v>
      </c>
      <c r="AA22" s="29">
        <f t="shared" si="11"/>
        <v>0</v>
      </c>
      <c r="AB22" s="22">
        <f t="shared" si="7"/>
        <v>0</v>
      </c>
      <c r="AC22" s="22">
        <f t="shared" si="8"/>
        <v>8.8651013057170651</v>
      </c>
      <c r="AD22" s="22">
        <f t="shared" si="9"/>
        <v>-8.8651013057170651</v>
      </c>
      <c r="AE22" s="22">
        <f t="shared" si="10"/>
        <v>14.154545454545449</v>
      </c>
    </row>
    <row r="23" spans="2:32" ht="15.75" x14ac:dyDescent="0.25">
      <c r="B23" s="134">
        <f>'Мощ-Диаметр-Ширина-Шаг-Угол'!T17</f>
        <v>0.3</v>
      </c>
      <c r="C23" s="135">
        <f>'Мощ-Диаметр-Ширина-Шаг-Угол'!U17</f>
        <v>225</v>
      </c>
      <c r="D23" s="135">
        <f>'Мощ-Диаметр-Ширина-Шаг-Угол'!V17</f>
        <v>27.4701990583034</v>
      </c>
      <c r="F23" s="149" t="s">
        <v>1</v>
      </c>
      <c r="G23" s="167">
        <f>B28</f>
        <v>1</v>
      </c>
      <c r="I23" s="192" t="s">
        <v>70</v>
      </c>
      <c r="J23" s="193"/>
      <c r="K23" s="193"/>
      <c r="L23" s="193"/>
      <c r="M23" s="194"/>
      <c r="O23" s="234">
        <v>0</v>
      </c>
      <c r="P23" s="260">
        <f t="shared" si="1"/>
        <v>-20.9</v>
      </c>
      <c r="Q23" s="261">
        <f t="shared" si="2"/>
        <v>-3.3</v>
      </c>
      <c r="R23" s="210">
        <f t="shared" si="3"/>
        <v>-21.109090909090902</v>
      </c>
      <c r="S23" s="173">
        <f t="shared" si="4"/>
        <v>0</v>
      </c>
      <c r="T23" s="28">
        <v>1.02</v>
      </c>
      <c r="U23" s="28">
        <v>0</v>
      </c>
      <c r="V23" s="29">
        <f>IF(Y23=11,$G$25-$G$26*W23/100,V22-$G$26*W23/100)</f>
        <v>13.390909090909096</v>
      </c>
      <c r="W23" s="18">
        <f t="shared" si="5"/>
        <v>0.92727272727272736</v>
      </c>
      <c r="X23" s="21">
        <f t="shared" si="6"/>
        <v>-21.109090909090902</v>
      </c>
      <c r="Y23" s="28">
        <v>3</v>
      </c>
      <c r="Z23" s="18">
        <f t="shared" si="0"/>
        <v>0</v>
      </c>
      <c r="AA23" s="29">
        <f t="shared" si="11"/>
        <v>0</v>
      </c>
      <c r="AB23" s="22">
        <f t="shared" si="7"/>
        <v>0</v>
      </c>
      <c r="AC23" s="22">
        <f t="shared" si="8"/>
        <v>8.8651013057170651</v>
      </c>
      <c r="AD23" s="22">
        <f t="shared" si="9"/>
        <v>-8.8651013057170651</v>
      </c>
      <c r="AE23" s="22">
        <f t="shared" si="10"/>
        <v>21.109090909090902</v>
      </c>
    </row>
    <row r="24" spans="2:32" ht="15.75" x14ac:dyDescent="0.25">
      <c r="B24" s="134">
        <f>'Мощ-Диаметр-Ширина-Шаг-Угол'!T18</f>
        <v>0.45</v>
      </c>
      <c r="C24" s="135">
        <f>'Мощ-Диаметр-Ширина-Шаг-Угол'!U18</f>
        <v>337.5</v>
      </c>
      <c r="D24" s="135">
        <f>'Мощ-Диаметр-Ширина-Шаг-Угол'!V18</f>
        <v>19.116526271257957</v>
      </c>
      <c r="F24" s="149" t="s">
        <v>5</v>
      </c>
      <c r="G24" s="151">
        <f>D28+I24</f>
        <v>8.8651013057170651</v>
      </c>
      <c r="I24" s="169">
        <v>0</v>
      </c>
      <c r="J24" s="195" t="s">
        <v>71</v>
      </c>
      <c r="K24" s="196"/>
      <c r="L24" s="196"/>
      <c r="M24" s="197"/>
      <c r="O24" s="234">
        <v>0</v>
      </c>
      <c r="P24" s="260">
        <f t="shared" si="1"/>
        <v>-27.7</v>
      </c>
      <c r="Q24" s="261">
        <f t="shared" si="2"/>
        <v>-4.3</v>
      </c>
      <c r="R24" s="210">
        <f t="shared" si="3"/>
        <v>-28.063636363636359</v>
      </c>
      <c r="S24" s="173">
        <f t="shared" si="4"/>
        <v>0</v>
      </c>
      <c r="T24" s="28">
        <v>1.02</v>
      </c>
      <c r="U24" s="28">
        <v>0</v>
      </c>
      <c r="V24" s="29">
        <f>IF(Y24=11,$G$25-$G$26*W24/100,V23-$G$26*W24/100)</f>
        <v>6.4363636363636409</v>
      </c>
      <c r="W24" s="18">
        <f t="shared" si="5"/>
        <v>0.92727272727272736</v>
      </c>
      <c r="X24" s="21">
        <f t="shared" si="6"/>
        <v>-28.063636363636359</v>
      </c>
      <c r="Y24" s="28">
        <v>2</v>
      </c>
      <c r="Z24" s="18">
        <f t="shared" si="0"/>
        <v>0</v>
      </c>
      <c r="AA24" s="29">
        <f t="shared" si="11"/>
        <v>0</v>
      </c>
      <c r="AB24" s="22">
        <f t="shared" si="7"/>
        <v>0</v>
      </c>
      <c r="AC24" s="22">
        <f t="shared" si="8"/>
        <v>8.8651013057170651</v>
      </c>
      <c r="AD24" s="22">
        <f t="shared" si="9"/>
        <v>-8.8651013057170651</v>
      </c>
      <c r="AE24" s="22">
        <f t="shared" si="10"/>
        <v>28.063636363636359</v>
      </c>
    </row>
    <row r="25" spans="2:32" ht="16.5" thickBot="1" x14ac:dyDescent="0.3">
      <c r="B25" s="134">
        <f>'Мощ-Диаметр-Ширина-Шаг-Угол'!T19</f>
        <v>0.6</v>
      </c>
      <c r="C25" s="135">
        <f>'Мощ-Диаметр-Ширина-Шаг-Угол'!U19</f>
        <v>450</v>
      </c>
      <c r="D25" s="135">
        <f>'Мощ-Диаметр-Ширина-Шаг-Угол'!V19</f>
        <v>14.571697975268386</v>
      </c>
      <c r="F25" s="155" t="s">
        <v>23</v>
      </c>
      <c r="G25" s="243">
        <f>ROUND((G26*G27/100)*(G22/16.5),0)</f>
        <v>69</v>
      </c>
      <c r="O25" s="234">
        <v>0</v>
      </c>
      <c r="P25" s="262">
        <f>P49</f>
        <v>-34.280145602964986</v>
      </c>
      <c r="Q25" s="263">
        <f>Q49</f>
        <v>-4.0839246793528838</v>
      </c>
      <c r="R25" s="210">
        <f t="shared" si="3"/>
        <v>-34.5</v>
      </c>
      <c r="S25" s="173">
        <f t="shared" si="4"/>
        <v>1.2477272727272726</v>
      </c>
      <c r="T25" s="23"/>
      <c r="U25" s="24">
        <v>0.1</v>
      </c>
      <c r="V25" s="25">
        <v>0</v>
      </c>
      <c r="W25" s="23"/>
      <c r="X25" s="21">
        <f t="shared" si="6"/>
        <v>-34.5</v>
      </c>
      <c r="Y25" s="26">
        <v>1</v>
      </c>
      <c r="Z25" s="18">
        <f t="shared" si="0"/>
        <v>9.0909090909090912E-2</v>
      </c>
      <c r="AA25" s="25">
        <f>AA4-(-AA24+AA4)/2</f>
        <v>1.2477272727272728</v>
      </c>
      <c r="AB25" s="22">
        <f>DEGREES(ATAN(AA25/(ABS(X25))))</f>
        <v>2.071256875288646</v>
      </c>
      <c r="AC25" s="22">
        <f t="shared" si="8"/>
        <v>10.936358181005712</v>
      </c>
      <c r="AD25" s="22">
        <f t="shared" si="9"/>
        <v>-6.7938444304284191</v>
      </c>
      <c r="AE25" s="22">
        <f t="shared" si="10"/>
        <v>34.522555284148758</v>
      </c>
      <c r="AF25" s="201" t="s">
        <v>24</v>
      </c>
    </row>
    <row r="26" spans="2:32" ht="15.75" x14ac:dyDescent="0.25">
      <c r="B26" s="134">
        <f>'Мощ-Диаметр-Ширина-Шаг-Угол'!T20</f>
        <v>0.75</v>
      </c>
      <c r="C26" s="135">
        <f>'Мощ-Диаметр-Ширина-Шаг-Угол'!U20</f>
        <v>562.5</v>
      </c>
      <c r="D26" s="135">
        <f>'Мощ-Диаметр-Ширина-Шаг-Угол'!V20</f>
        <v>11.747922008046672</v>
      </c>
      <c r="F26" s="149" t="s">
        <v>61</v>
      </c>
      <c r="G26" s="153">
        <f>C28</f>
        <v>750</v>
      </c>
      <c r="I26" s="244" t="s">
        <v>75</v>
      </c>
      <c r="J26" s="245" t="s">
        <v>76</v>
      </c>
      <c r="O26" s="235"/>
      <c r="P26" s="237">
        <f>P36</f>
        <v>33.815718339748493</v>
      </c>
      <c r="Q26" s="237">
        <f>Q36</f>
        <v>7.0615598902900203</v>
      </c>
      <c r="R26" s="210"/>
      <c r="S26" s="173"/>
      <c r="T26" s="230"/>
      <c r="U26" s="231"/>
      <c r="V26" s="25"/>
      <c r="W26" s="23"/>
      <c r="X26" s="21"/>
      <c r="Y26" s="26"/>
      <c r="Z26" s="18"/>
      <c r="AA26" s="25"/>
      <c r="AB26" s="22"/>
      <c r="AC26" s="22"/>
      <c r="AD26" s="22"/>
      <c r="AE26" s="22"/>
      <c r="AF26" s="201"/>
    </row>
    <row r="27" spans="2:32" ht="15.75" x14ac:dyDescent="0.25">
      <c r="B27" s="134">
        <f>'Мощ-Диаметр-Ширина-Шаг-Угол'!T21</f>
        <v>0.9</v>
      </c>
      <c r="C27" s="135">
        <f>'Мощ-Диаметр-Ширина-Шаг-Угол'!U21</f>
        <v>675</v>
      </c>
      <c r="D27" s="135">
        <f>'Мощ-Диаметр-Ширина-Шаг-Угол'!V21</f>
        <v>9.8318239499289177</v>
      </c>
      <c r="F27" s="149" t="s">
        <v>68</v>
      </c>
      <c r="G27" s="242">
        <v>10.16</v>
      </c>
      <c r="I27" s="245">
        <v>2.8</v>
      </c>
      <c r="J27" s="246">
        <f>ROUND((G26*I27/100)*(G22/16.5),0)</f>
        <v>19</v>
      </c>
      <c r="K27" s="249" t="s">
        <v>77</v>
      </c>
      <c r="L27" s="247"/>
      <c r="O27" s="235"/>
      <c r="P27" s="237">
        <f>P49</f>
        <v>-34.280145602964986</v>
      </c>
      <c r="Q27" s="237">
        <f>Q49</f>
        <v>-4.0839246793528838</v>
      </c>
      <c r="R27" s="210"/>
      <c r="S27" s="173"/>
      <c r="T27" s="230"/>
      <c r="U27" s="231"/>
      <c r="V27" s="25"/>
      <c r="W27" s="23"/>
      <c r="X27" s="21"/>
      <c r="Y27" s="26"/>
      <c r="Z27" s="18"/>
      <c r="AA27" s="25"/>
      <c r="AB27" s="22"/>
      <c r="AC27" s="22"/>
      <c r="AD27" s="22"/>
      <c r="AE27" s="22"/>
      <c r="AF27" s="201"/>
    </row>
    <row r="28" spans="2:32" ht="15.75" x14ac:dyDescent="0.25">
      <c r="B28" s="157">
        <f>'Мощ-Диаметр-Ширина-Шаг-Угол'!T22</f>
        <v>1</v>
      </c>
      <c r="C28" s="158">
        <f>'Мощ-Диаметр-Ширина-Шаг-Угол'!U22</f>
        <v>750</v>
      </c>
      <c r="D28" s="158">
        <f>'Мощ-Диаметр-Ширина-Шаг-Угол'!V22</f>
        <v>8.8651013057170651</v>
      </c>
      <c r="O28" s="232"/>
      <c r="P28" s="223" t="s">
        <v>72</v>
      </c>
      <c r="Q28" s="223"/>
      <c r="R28" s="264"/>
      <c r="S28" s="265"/>
      <c r="T28" s="266"/>
      <c r="U28" s="231"/>
      <c r="V28" s="25"/>
      <c r="W28" s="23"/>
      <c r="X28" s="21"/>
      <c r="Y28" s="26"/>
      <c r="Z28" s="18"/>
      <c r="AA28" s="25"/>
      <c r="AB28" s="22"/>
      <c r="AC28" s="22"/>
      <c r="AD28" s="22"/>
      <c r="AE28" s="22"/>
      <c r="AF28" s="201"/>
    </row>
    <row r="29" spans="2:32" ht="15.75" x14ac:dyDescent="0.25">
      <c r="O29" s="232"/>
      <c r="P29" s="233"/>
      <c r="Q29" s="233"/>
      <c r="R29" s="172"/>
      <c r="S29" s="173"/>
      <c r="T29" s="230"/>
      <c r="U29" s="231"/>
      <c r="V29" s="25"/>
      <c r="W29" s="23"/>
      <c r="X29" s="21"/>
      <c r="Y29" s="26"/>
      <c r="Z29" s="18"/>
      <c r="AA29" s="25"/>
      <c r="AB29" s="22"/>
      <c r="AC29" s="22"/>
      <c r="AD29" s="22"/>
      <c r="AE29" s="22"/>
      <c r="AF29" s="201"/>
    </row>
    <row r="30" spans="2:32" ht="15.75" x14ac:dyDescent="0.25">
      <c r="O30" s="232"/>
      <c r="P30" s="233"/>
      <c r="Q30" s="233"/>
      <c r="R30" s="172"/>
      <c r="S30" s="173"/>
      <c r="T30" s="230"/>
      <c r="U30" s="231"/>
      <c r="V30" s="25"/>
      <c r="W30" s="23"/>
      <c r="X30" s="21"/>
      <c r="Y30" s="26"/>
      <c r="Z30" s="18"/>
      <c r="AA30" s="25"/>
      <c r="AB30" s="22"/>
      <c r="AC30" s="22"/>
      <c r="AD30" s="22"/>
      <c r="AE30" s="22"/>
      <c r="AF30" s="201"/>
    </row>
    <row r="31" spans="2:32" ht="15.75" x14ac:dyDescent="0.25">
      <c r="O31" s="232"/>
      <c r="P31" s="233"/>
      <c r="Q31" s="233"/>
      <c r="R31" s="172"/>
      <c r="S31" s="173"/>
      <c r="T31" s="230"/>
      <c r="U31" s="231"/>
      <c r="V31" s="25"/>
      <c r="W31" s="23"/>
      <c r="X31" s="21"/>
      <c r="Y31" s="26"/>
      <c r="Z31" s="18"/>
      <c r="AA31" s="25"/>
      <c r="AB31" s="22"/>
      <c r="AC31" s="22"/>
      <c r="AD31" s="22"/>
      <c r="AE31" s="22"/>
      <c r="AF31" s="201"/>
    </row>
    <row r="32" spans="2:32" ht="15.75" x14ac:dyDescent="0.25">
      <c r="O32" s="232"/>
      <c r="P32" s="233"/>
      <c r="Q32" s="233"/>
      <c r="R32" s="172"/>
      <c r="S32" s="173"/>
      <c r="T32" s="230"/>
      <c r="U32" s="231"/>
      <c r="V32" s="25"/>
      <c r="W32" s="23"/>
      <c r="X32" s="21"/>
      <c r="Y32" s="26"/>
      <c r="Z32" s="18"/>
      <c r="AA32" s="25"/>
      <c r="AB32" s="22"/>
      <c r="AC32" s="22"/>
      <c r="AD32" s="22"/>
      <c r="AE32" s="22"/>
      <c r="AF32" s="201"/>
    </row>
    <row r="33" spans="15:35" ht="15.75" x14ac:dyDescent="0.25">
      <c r="O33" s="232"/>
      <c r="P33" s="233"/>
      <c r="Q33" s="233"/>
      <c r="R33" s="172"/>
      <c r="S33" s="173"/>
      <c r="T33" s="230"/>
      <c r="U33" s="231"/>
      <c r="V33" s="25"/>
      <c r="W33" s="23"/>
      <c r="X33" s="21"/>
      <c r="Y33" s="26"/>
      <c r="Z33" s="18"/>
      <c r="AA33" s="25"/>
      <c r="AB33" s="22"/>
      <c r="AC33" s="22"/>
      <c r="AD33" s="22"/>
      <c r="AE33" s="22"/>
      <c r="AF33" s="201"/>
    </row>
    <row r="34" spans="15:35" ht="15.75" x14ac:dyDescent="0.25">
      <c r="O34" s="232"/>
      <c r="P34" s="233"/>
      <c r="Q34" s="233"/>
      <c r="R34" s="172"/>
      <c r="S34" s="173"/>
      <c r="T34" s="230"/>
      <c r="U34" s="231"/>
      <c r="V34" s="25"/>
      <c r="W34" s="23"/>
      <c r="X34" s="21"/>
      <c r="Y34" s="26"/>
      <c r="Z34" s="18"/>
      <c r="AA34" s="25"/>
      <c r="AB34" s="22"/>
      <c r="AC34" s="22"/>
      <c r="AD34" s="22"/>
      <c r="AE34" s="22"/>
      <c r="AF34" s="201"/>
    </row>
    <row r="35" spans="15:35" ht="15.75" x14ac:dyDescent="0.25">
      <c r="O35" s="232"/>
      <c r="P35" s="233"/>
      <c r="Q35" s="233"/>
      <c r="R35" s="172"/>
      <c r="S35" s="173"/>
      <c r="T35" s="230"/>
      <c r="U35" s="231"/>
      <c r="V35" s="25"/>
      <c r="W35" s="23"/>
      <c r="X35" s="21"/>
      <c r="Y35" s="26"/>
      <c r="Z35" s="18"/>
      <c r="AA35" s="25"/>
      <c r="AB35" s="22"/>
      <c r="AC35" s="22"/>
      <c r="AD35" s="22"/>
      <c r="AE35" s="22"/>
      <c r="AF35" s="201"/>
    </row>
    <row r="36" spans="15:35" x14ac:dyDescent="0.25">
      <c r="O36" s="232"/>
      <c r="P36" s="236">
        <f t="shared" ref="P36:P53" si="12">IF(R36&lt;0,-AE36*COS(RADIANS(AD36)),AE36*COS(RADIANS(AC36)))</f>
        <v>33.815718339748493</v>
      </c>
      <c r="Q36" s="236">
        <f t="shared" ref="Q36:Q53" si="13">IF(R36&lt;0,AE36*SIN(RADIANS(AD36)),AE36*SIN(RADIANS($AC36)))+O36</f>
        <v>7.0615598902900203</v>
      </c>
      <c r="R36" s="224">
        <f t="shared" si="3"/>
        <v>34.5</v>
      </c>
      <c r="S36" s="225">
        <f t="shared" si="4"/>
        <v>1.7659090909090909</v>
      </c>
      <c r="T36" s="202"/>
      <c r="U36" s="202"/>
      <c r="V36" s="202"/>
      <c r="W36" s="202"/>
      <c r="X36" s="203">
        <f>$AG$36*COS(RADIANS($AF36))+$R$14-$AG$36</f>
        <v>34.5</v>
      </c>
      <c r="Y36" s="204"/>
      <c r="Z36" s="204"/>
      <c r="AA36" s="203">
        <f>$S$14+($AG$36*SIN(RADIANS($AF36)))</f>
        <v>1.7659090909090909</v>
      </c>
      <c r="AB36" s="205">
        <f t="shared" ref="AB36:AB53" si="14">DEGREES(ATAN(AA36/(ABS(X36))))</f>
        <v>2.9301714206885645</v>
      </c>
      <c r="AC36" s="205">
        <f t="shared" ref="AC36:AC53" si="15">DEGREES(ATAN(AA36/(ABS(X36))))+$G$24</f>
        <v>11.79527272640563</v>
      </c>
      <c r="AD36" s="205">
        <f t="shared" ref="AD36:AD53" si="16">DEGREES(ATAN(AA36/(ABS(X36))))-$G$24</f>
        <v>-5.9349298850285006</v>
      </c>
      <c r="AE36" s="205">
        <f t="shared" ref="AE36:AE53" si="17">SQRT(AA36*AA36+X36*X36)</f>
        <v>34.545165145318897</v>
      </c>
      <c r="AF36" s="206">
        <v>0</v>
      </c>
      <c r="AG36" s="207">
        <f>ROUND($Z$14*$G$26/100,1)</f>
        <v>0.7</v>
      </c>
      <c r="AI36" s="201"/>
    </row>
    <row r="37" spans="15:35" ht="18" customHeight="1" x14ac:dyDescent="0.25">
      <c r="O37" s="232"/>
      <c r="P37" s="236">
        <f t="shared" si="12"/>
        <v>33.536862473081705</v>
      </c>
      <c r="Q37" s="236">
        <f t="shared" si="13"/>
        <v>7.5190254737634641</v>
      </c>
      <c r="R37" s="226">
        <f t="shared" si="3"/>
        <v>34.29497474683059</v>
      </c>
      <c r="S37" s="227">
        <f t="shared" si="4"/>
        <v>2.2608838377396738</v>
      </c>
      <c r="T37" s="3"/>
      <c r="U37" s="3"/>
      <c r="V37" s="3"/>
      <c r="W37" s="3"/>
      <c r="X37" s="208">
        <f>$AG$36*COS(RADIANS($AF37))+$R$14-$AG$36</f>
        <v>34.294974746830583</v>
      </c>
      <c r="Y37" s="209"/>
      <c r="Z37" s="209"/>
      <c r="AA37" s="208">
        <f>$S$14+($AG$36*SIN(RADIANS($AF37)))</f>
        <v>2.2608838377396738</v>
      </c>
      <c r="AB37" s="210">
        <f t="shared" si="14"/>
        <v>3.7717458368026562</v>
      </c>
      <c r="AC37" s="210">
        <f t="shared" si="15"/>
        <v>12.636847142519722</v>
      </c>
      <c r="AD37" s="210">
        <f t="shared" si="16"/>
        <v>-5.0933554689144085</v>
      </c>
      <c r="AE37" s="210">
        <f t="shared" si="17"/>
        <v>34.369417926603006</v>
      </c>
      <c r="AF37" s="211">
        <v>45</v>
      </c>
      <c r="AG37" s="212" t="str">
        <f>CONCATENATE("r1=",$AG$36)</f>
        <v>r1=0,7</v>
      </c>
      <c r="AH37" s="201"/>
      <c r="AI37" s="201"/>
    </row>
    <row r="38" spans="15:35" ht="18" customHeight="1" x14ac:dyDescent="0.25">
      <c r="O38" s="232"/>
      <c r="P38" s="236">
        <f t="shared" si="12"/>
        <v>33.016204582554437</v>
      </c>
      <c r="Q38" s="236">
        <f>IF(R38&lt;0,AE38*SIN(RADIANS(AD38)),AE38*SIN(RADIANS($AC38)))+O38</f>
        <v>7.6453216157032609</v>
      </c>
      <c r="R38" s="226">
        <f t="shared" si="3"/>
        <v>33.800000000000004</v>
      </c>
      <c r="S38" s="227">
        <f t="shared" si="4"/>
        <v>2.4659090909090908</v>
      </c>
      <c r="T38" s="3"/>
      <c r="U38" s="3"/>
      <c r="V38" s="3"/>
      <c r="W38" s="3"/>
      <c r="X38" s="208">
        <f>$AG$36*COS(RADIANS($AF38))+$R$14-$AG$36</f>
        <v>33.799999999999997</v>
      </c>
      <c r="Y38" s="209"/>
      <c r="Z38" s="209"/>
      <c r="AA38" s="208">
        <f>$S$14+($AG$36*SIN(RADIANS($AF38)))</f>
        <v>2.4659090909090908</v>
      </c>
      <c r="AB38" s="210">
        <f t="shared" si="14"/>
        <v>4.1726719794529403</v>
      </c>
      <c r="AC38" s="210">
        <f t="shared" si="15"/>
        <v>13.037773285170005</v>
      </c>
      <c r="AD38" s="210">
        <f t="shared" si="16"/>
        <v>-4.6924293262641248</v>
      </c>
      <c r="AE38" s="210">
        <f t="shared" si="17"/>
        <v>33.889831921162255</v>
      </c>
      <c r="AF38" s="211">
        <v>90</v>
      </c>
      <c r="AG38" s="213"/>
    </row>
    <row r="39" spans="15:35" x14ac:dyDescent="0.25">
      <c r="O39" s="232"/>
      <c r="P39" s="236">
        <f t="shared" si="12"/>
        <v>32.558738999080987</v>
      </c>
      <c r="Q39" s="236">
        <f t="shared" si="13"/>
        <v>7.3664657490364727</v>
      </c>
      <c r="R39" s="226">
        <f t="shared" si="3"/>
        <v>33.305025253169411</v>
      </c>
      <c r="S39" s="227">
        <f t="shared" si="4"/>
        <v>2.2608838377396747</v>
      </c>
      <c r="T39" s="3"/>
      <c r="U39" s="3"/>
      <c r="V39" s="3"/>
      <c r="W39" s="3"/>
      <c r="X39" s="208">
        <f>$AG$36*COS(RADIANS($AF39))+$R$14-$AG$36</f>
        <v>33.305025253169411</v>
      </c>
      <c r="Y39" s="209"/>
      <c r="Z39" s="209"/>
      <c r="AA39" s="208">
        <f>$S$14+($AG$36*SIN(RADIANS($AF39)))</f>
        <v>2.2608838377396743</v>
      </c>
      <c r="AB39" s="210">
        <f t="shared" si="14"/>
        <v>3.8835180571593888</v>
      </c>
      <c r="AC39" s="210">
        <f t="shared" si="15"/>
        <v>12.748619362876454</v>
      </c>
      <c r="AD39" s="210">
        <f t="shared" si="16"/>
        <v>-4.9815832485576763</v>
      </c>
      <c r="AE39" s="210">
        <f t="shared" si="17"/>
        <v>33.38167615387227</v>
      </c>
      <c r="AF39" s="211">
        <v>135</v>
      </c>
      <c r="AG39" s="213"/>
    </row>
    <row r="40" spans="15:35" x14ac:dyDescent="0.25">
      <c r="O40" s="232"/>
      <c r="P40" s="236">
        <f t="shared" si="12"/>
        <v>32.43244285714119</v>
      </c>
      <c r="Q40" s="236">
        <f t="shared" si="13"/>
        <v>6.845807858509203</v>
      </c>
      <c r="R40" s="226">
        <f t="shared" si="3"/>
        <v>33.099999999999994</v>
      </c>
      <c r="S40" s="227">
        <f t="shared" si="4"/>
        <v>1.7659090909090909</v>
      </c>
      <c r="T40" s="3"/>
      <c r="U40" s="3"/>
      <c r="V40" s="3"/>
      <c r="W40" s="3"/>
      <c r="X40" s="208">
        <f>$AG$36*COS(RADIANS($AF40))+$R$14-$AG$36</f>
        <v>33.099999999999994</v>
      </c>
      <c r="Y40" s="209"/>
      <c r="Z40" s="209"/>
      <c r="AA40" s="208">
        <f>$S$14+($AG$36*SIN(RADIANS($AF40)))</f>
        <v>1.7659090909090909</v>
      </c>
      <c r="AB40" s="210">
        <f t="shared" si="14"/>
        <v>3.0538763178417394</v>
      </c>
      <c r="AC40" s="210">
        <f t="shared" si="15"/>
        <v>11.918977623558805</v>
      </c>
      <c r="AD40" s="210">
        <f t="shared" si="16"/>
        <v>-5.8112249878753257</v>
      </c>
      <c r="AE40" s="210">
        <f t="shared" si="17"/>
        <v>33.147072795608288</v>
      </c>
      <c r="AF40" s="211">
        <v>180</v>
      </c>
      <c r="AG40" s="213"/>
    </row>
    <row r="41" spans="15:35" x14ac:dyDescent="0.25">
      <c r="O41" s="232"/>
      <c r="P41" s="236">
        <f t="shared" si="12"/>
        <v>32.711298723807971</v>
      </c>
      <c r="Q41" s="236">
        <f t="shared" si="13"/>
        <v>6.3883422750357584</v>
      </c>
      <c r="R41" s="226">
        <f t="shared" si="3"/>
        <v>33.305025253169411</v>
      </c>
      <c r="S41" s="227">
        <f t="shared" si="4"/>
        <v>1.2709343440785072</v>
      </c>
      <c r="T41" s="3"/>
      <c r="U41" s="3"/>
      <c r="V41" s="3"/>
      <c r="W41" s="3"/>
      <c r="X41" s="208">
        <f>$AG$36*COS(RADIANS($AF41))+$R$14-$AG$36</f>
        <v>33.305025253169411</v>
      </c>
      <c r="Y41" s="209"/>
      <c r="Z41" s="209"/>
      <c r="AA41" s="208">
        <f>$S$14+($AG$36*SIN(RADIANS($AF41)))</f>
        <v>1.2709343440785075</v>
      </c>
      <c r="AB41" s="210">
        <f t="shared" si="14"/>
        <v>2.1853716477841401</v>
      </c>
      <c r="AC41" s="210">
        <f t="shared" si="15"/>
        <v>11.050472953501206</v>
      </c>
      <c r="AD41" s="210">
        <f t="shared" si="16"/>
        <v>-6.6797296579329251</v>
      </c>
      <c r="AE41" s="210">
        <f t="shared" si="17"/>
        <v>33.329266136853512</v>
      </c>
      <c r="AF41" s="211">
        <v>-135</v>
      </c>
      <c r="AG41" s="213"/>
    </row>
    <row r="42" spans="15:35" x14ac:dyDescent="0.25">
      <c r="O42" s="232"/>
      <c r="P42" s="236">
        <f t="shared" si="12"/>
        <v>33.231956614335253</v>
      </c>
      <c r="Q42" s="236">
        <f t="shared" si="13"/>
        <v>6.2620461330959625</v>
      </c>
      <c r="R42" s="226">
        <f t="shared" si="3"/>
        <v>33.799999999999997</v>
      </c>
      <c r="S42" s="227">
        <f t="shared" si="4"/>
        <v>1.0659090909090909</v>
      </c>
      <c r="T42" s="3"/>
      <c r="U42" s="3"/>
      <c r="V42" s="3"/>
      <c r="W42" s="3"/>
      <c r="X42" s="208">
        <f>$AG$36*COS(RADIANS($AF42))+$R$14-$AG$36</f>
        <v>33.799999999999997</v>
      </c>
      <c r="Y42" s="209"/>
      <c r="Z42" s="209"/>
      <c r="AA42" s="208">
        <f>$S$14+($AG$36*SIN(RADIANS($AF42)))</f>
        <v>1.0659090909090909</v>
      </c>
      <c r="AB42" s="210">
        <f t="shared" si="14"/>
        <v>1.8062680126373294</v>
      </c>
      <c r="AC42" s="210">
        <f t="shared" si="15"/>
        <v>10.671369318354394</v>
      </c>
      <c r="AD42" s="210">
        <f t="shared" si="16"/>
        <v>-7.0588332930797355</v>
      </c>
      <c r="AE42" s="210">
        <f t="shared" si="17"/>
        <v>33.816802956371887</v>
      </c>
      <c r="AF42" s="211">
        <v>-90</v>
      </c>
      <c r="AG42" s="213"/>
    </row>
    <row r="43" spans="15:35" x14ac:dyDescent="0.25">
      <c r="O43" s="232"/>
      <c r="P43" s="236">
        <f t="shared" si="12"/>
        <v>33.689422197808696</v>
      </c>
      <c r="Q43" s="236">
        <f t="shared" si="13"/>
        <v>6.5409019997627498</v>
      </c>
      <c r="R43" s="226">
        <f t="shared" si="3"/>
        <v>34.294974746830583</v>
      </c>
      <c r="S43" s="227">
        <f t="shared" si="4"/>
        <v>1.2709343440785077</v>
      </c>
      <c r="T43" s="3"/>
      <c r="U43" s="3"/>
      <c r="V43" s="3"/>
      <c r="W43" s="3"/>
      <c r="X43" s="208">
        <f>$AG$36*COS(RADIANS($AF43))+$R$14-$AG$36</f>
        <v>34.294974746830583</v>
      </c>
      <c r="Y43" s="209"/>
      <c r="Z43" s="209"/>
      <c r="AA43" s="208">
        <f>$S$14+($AG$36*SIN(RADIANS($AF43)))</f>
        <v>1.2709343440785077</v>
      </c>
      <c r="AB43" s="210">
        <f t="shared" si="14"/>
        <v>2.1223478431002611</v>
      </c>
      <c r="AC43" s="210">
        <f t="shared" si="15"/>
        <v>10.987449148817326</v>
      </c>
      <c r="AD43" s="210">
        <f t="shared" si="16"/>
        <v>-6.742753462616804</v>
      </c>
      <c r="AE43" s="210">
        <f t="shared" si="17"/>
        <v>34.318516386823973</v>
      </c>
      <c r="AF43" s="211">
        <v>-45</v>
      </c>
      <c r="AG43" s="213"/>
    </row>
    <row r="44" spans="15:35" x14ac:dyDescent="0.25">
      <c r="O44" s="232"/>
      <c r="P44" s="236">
        <f t="shared" si="12"/>
        <v>33.815718339748493</v>
      </c>
      <c r="Q44" s="236">
        <f t="shared" si="13"/>
        <v>7.0615598902900203</v>
      </c>
      <c r="R44" s="228">
        <f t="shared" si="3"/>
        <v>34.5</v>
      </c>
      <c r="S44" s="229">
        <f t="shared" si="4"/>
        <v>1.7659090909090909</v>
      </c>
      <c r="T44" s="214"/>
      <c r="U44" s="214"/>
      <c r="V44" s="214"/>
      <c r="W44" s="214"/>
      <c r="X44" s="215">
        <f>$AG$36*COS(RADIANS($AF44))+$R$14-$AG$36</f>
        <v>34.5</v>
      </c>
      <c r="Y44" s="216"/>
      <c r="Z44" s="216"/>
      <c r="AA44" s="215">
        <f>$S$14+($AG$36*SIN(RADIANS($AF44)))</f>
        <v>1.7659090909090909</v>
      </c>
      <c r="AB44" s="217">
        <f t="shared" si="14"/>
        <v>2.9301714206885645</v>
      </c>
      <c r="AC44" s="217">
        <f t="shared" si="15"/>
        <v>11.79527272640563</v>
      </c>
      <c r="AD44" s="217">
        <f t="shared" si="16"/>
        <v>-5.9349298850285006</v>
      </c>
      <c r="AE44" s="217">
        <f t="shared" si="17"/>
        <v>34.545165145318897</v>
      </c>
      <c r="AF44" s="218">
        <v>0</v>
      </c>
      <c r="AG44" s="219"/>
    </row>
    <row r="45" spans="15:35" x14ac:dyDescent="0.25">
      <c r="O45" s="232"/>
      <c r="P45" s="236">
        <f t="shared" si="12"/>
        <v>-32.89687012035769</v>
      </c>
      <c r="Q45" s="236">
        <f t="shared" si="13"/>
        <v>-3.8681726475720675</v>
      </c>
      <c r="R45" s="224">
        <f t="shared" si="3"/>
        <v>-33.099999999999994</v>
      </c>
      <c r="S45" s="225">
        <f t="shared" si="4"/>
        <v>1.247727272727273</v>
      </c>
      <c r="T45" s="202"/>
      <c r="U45" s="202"/>
      <c r="V45" s="202"/>
      <c r="W45" s="202"/>
      <c r="X45" s="203">
        <f>$AG$45*COS(RADIANS(AF45))+$R$25+$AG$45</f>
        <v>-33.099999999999994</v>
      </c>
      <c r="Y45" s="220"/>
      <c r="Z45" s="220"/>
      <c r="AA45" s="203">
        <f>$S$25+($AG$45*SIN(RADIANS($AF45)))</f>
        <v>1.2477272727272726</v>
      </c>
      <c r="AB45" s="205">
        <f t="shared" si="14"/>
        <v>2.1587816976159457</v>
      </c>
      <c r="AC45" s="205">
        <f t="shared" si="15"/>
        <v>11.023883003333012</v>
      </c>
      <c r="AD45" s="205">
        <f t="shared" si="16"/>
        <v>-6.7063196081011194</v>
      </c>
      <c r="AE45" s="205">
        <f t="shared" si="17"/>
        <v>33.123508620722944</v>
      </c>
      <c r="AF45" s="206">
        <v>0</v>
      </c>
      <c r="AG45" s="207">
        <f>ROUND($Z$25*$G$26/100,1)</f>
        <v>0.7</v>
      </c>
    </row>
    <row r="46" spans="15:35" x14ac:dyDescent="0.25">
      <c r="O46" s="232"/>
      <c r="P46" s="236">
        <f t="shared" si="12"/>
        <v>-33.175725987024471</v>
      </c>
      <c r="Q46" s="236">
        <f t="shared" si="13"/>
        <v>-3.4107070640986241</v>
      </c>
      <c r="R46" s="226">
        <f t="shared" si="3"/>
        <v>-33.305025253169411</v>
      </c>
      <c r="S46" s="227">
        <f t="shared" si="4"/>
        <v>1.7427020195578558</v>
      </c>
      <c r="T46" s="3"/>
      <c r="U46" s="3"/>
      <c r="V46" s="3"/>
      <c r="W46" s="3"/>
      <c r="X46" s="208">
        <f>$AG$45*COS(RADIANS(AF46))+$R$25+$AG$45</f>
        <v>-33.305025253169411</v>
      </c>
      <c r="Y46" s="221"/>
      <c r="Z46" s="221"/>
      <c r="AA46" s="208">
        <f>$S$25+($AG$45*SIN(RADIANS($AF46)))</f>
        <v>1.7427020195578558</v>
      </c>
      <c r="AB46" s="210">
        <f t="shared" si="14"/>
        <v>2.9952985006306108</v>
      </c>
      <c r="AC46" s="210">
        <f t="shared" si="15"/>
        <v>11.860399806347676</v>
      </c>
      <c r="AD46" s="210">
        <f t="shared" si="16"/>
        <v>-5.8698028050864544</v>
      </c>
      <c r="AE46" s="210">
        <f t="shared" si="17"/>
        <v>33.350587962481612</v>
      </c>
      <c r="AF46" s="211">
        <v>45</v>
      </c>
      <c r="AG46" s="212" t="str">
        <f>CONCATENATE("r2=",$AG$45)</f>
        <v>r2=0,7</v>
      </c>
    </row>
    <row r="47" spans="15:35" x14ac:dyDescent="0.25">
      <c r="O47" s="232"/>
      <c r="P47" s="236">
        <f t="shared" si="12"/>
        <v>-33.696383877551746</v>
      </c>
      <c r="Q47" s="236">
        <f t="shared" si="13"/>
        <v>-3.2844109221588274</v>
      </c>
      <c r="R47" s="226">
        <f t="shared" si="3"/>
        <v>-33.799999999999997</v>
      </c>
      <c r="S47" s="227">
        <f t="shared" si="4"/>
        <v>1.9477272727272723</v>
      </c>
      <c r="T47" s="3"/>
      <c r="U47" s="3"/>
      <c r="V47" s="3"/>
      <c r="W47" s="3"/>
      <c r="X47" s="208">
        <f>$AG$45*COS(RADIANS(AF47))+$R$25+$AG$45</f>
        <v>-33.799999999999997</v>
      </c>
      <c r="Y47" s="221"/>
      <c r="Z47" s="221"/>
      <c r="AA47" s="208">
        <f>$S$25+($AG$45*SIN(RADIANS($AF47)))</f>
        <v>1.9477272727272725</v>
      </c>
      <c r="AB47" s="210">
        <f t="shared" si="14"/>
        <v>3.2980258459354639</v>
      </c>
      <c r="AC47" s="210">
        <f t="shared" si="15"/>
        <v>12.163127151652528</v>
      </c>
      <c r="AD47" s="210">
        <f t="shared" si="16"/>
        <v>-5.5670754597816012</v>
      </c>
      <c r="AE47" s="210">
        <f t="shared" si="17"/>
        <v>33.85607244688795</v>
      </c>
      <c r="AF47" s="211">
        <v>90</v>
      </c>
      <c r="AG47" s="213"/>
      <c r="AI47" s="201"/>
    </row>
    <row r="48" spans="15:35" x14ac:dyDescent="0.25">
      <c r="O48" s="232"/>
      <c r="P48" s="236">
        <f t="shared" si="12"/>
        <v>-34.153849461025196</v>
      </c>
      <c r="Q48" s="236">
        <f t="shared" si="13"/>
        <v>-3.5632667888256147</v>
      </c>
      <c r="R48" s="226">
        <f t="shared" si="3"/>
        <v>-34.29497474683059</v>
      </c>
      <c r="S48" s="227">
        <f t="shared" si="4"/>
        <v>1.7427020195578562</v>
      </c>
      <c r="T48" s="3"/>
      <c r="U48" s="3"/>
      <c r="V48" s="3"/>
      <c r="W48" s="3"/>
      <c r="X48" s="208">
        <f>$AG$45*COS(RADIANS(AF48))+$R$25+$AG$45</f>
        <v>-34.294974746830583</v>
      </c>
      <c r="Y48" s="221"/>
      <c r="Z48" s="221"/>
      <c r="AA48" s="208">
        <f>$S$25+($AG$45*SIN(RADIANS($AF48)))</f>
        <v>1.7427020195578558</v>
      </c>
      <c r="AB48" s="210">
        <f t="shared" si="14"/>
        <v>2.9089877293012543</v>
      </c>
      <c r="AC48" s="210">
        <f t="shared" si="15"/>
        <v>11.774089035018319</v>
      </c>
      <c r="AD48" s="210">
        <f t="shared" si="16"/>
        <v>-5.9561135764158113</v>
      </c>
      <c r="AE48" s="210">
        <f t="shared" si="17"/>
        <v>34.339223975138381</v>
      </c>
      <c r="AF48" s="211">
        <v>135</v>
      </c>
      <c r="AG48" s="213"/>
      <c r="AH48" s="201"/>
      <c r="AI48" s="201"/>
    </row>
    <row r="49" spans="15:33" x14ac:dyDescent="0.25">
      <c r="O49" s="232"/>
      <c r="P49" s="236">
        <f t="shared" si="12"/>
        <v>-34.280145602964986</v>
      </c>
      <c r="Q49" s="236">
        <f t="shared" si="13"/>
        <v>-4.0839246793528838</v>
      </c>
      <c r="R49" s="226">
        <f t="shared" si="3"/>
        <v>-34.5</v>
      </c>
      <c r="S49" s="227">
        <f t="shared" si="4"/>
        <v>1.2477272727272726</v>
      </c>
      <c r="T49" s="3"/>
      <c r="U49" s="3"/>
      <c r="V49" s="3"/>
      <c r="W49" s="3"/>
      <c r="X49" s="208">
        <f>$AG$45*COS(RADIANS(AF49))+$R$25+$AG$45</f>
        <v>-34.5</v>
      </c>
      <c r="Y49" s="221"/>
      <c r="Z49" s="221"/>
      <c r="AA49" s="208">
        <f>$S$25+($AG$45*SIN(RADIANS($AF49)))</f>
        <v>1.2477272727272726</v>
      </c>
      <c r="AB49" s="210">
        <f t="shared" si="14"/>
        <v>2.071256875288646</v>
      </c>
      <c r="AC49" s="210">
        <f t="shared" si="15"/>
        <v>10.936358181005712</v>
      </c>
      <c r="AD49" s="210">
        <f t="shared" si="16"/>
        <v>-6.7938444304284191</v>
      </c>
      <c r="AE49" s="210">
        <f t="shared" si="17"/>
        <v>34.522555284148758</v>
      </c>
      <c r="AF49" s="211">
        <v>180</v>
      </c>
      <c r="AG49" s="213"/>
    </row>
    <row r="50" spans="15:33" x14ac:dyDescent="0.25">
      <c r="O50" s="232"/>
      <c r="P50" s="236">
        <f t="shared" si="12"/>
        <v>-34.001289736298205</v>
      </c>
      <c r="Q50" s="236">
        <f t="shared" si="13"/>
        <v>-4.5413902628263285</v>
      </c>
      <c r="R50" s="226">
        <f t="shared" si="3"/>
        <v>-34.294974746830583</v>
      </c>
      <c r="S50" s="227">
        <f t="shared" si="4"/>
        <v>0.7527525258966894</v>
      </c>
      <c r="T50" s="3"/>
      <c r="U50" s="3"/>
      <c r="V50" s="3"/>
      <c r="W50" s="3"/>
      <c r="X50" s="208">
        <f>$AG$45*COS(RADIANS(AF50))+$R$25+$AG$45</f>
        <v>-34.294974746830583</v>
      </c>
      <c r="Y50" s="221"/>
      <c r="Z50" s="221"/>
      <c r="AA50" s="208">
        <f>$S$25+($AG$45*SIN(RADIANS($AF50)))</f>
        <v>0.75275252589668928</v>
      </c>
      <c r="AB50" s="210">
        <f t="shared" si="14"/>
        <v>1.257403419566401</v>
      </c>
      <c r="AC50" s="210">
        <f t="shared" si="15"/>
        <v>10.122504725283466</v>
      </c>
      <c r="AD50" s="210">
        <f t="shared" si="16"/>
        <v>-7.6076978861506639</v>
      </c>
      <c r="AE50" s="210">
        <f t="shared" si="17"/>
        <v>34.303234967725587</v>
      </c>
      <c r="AF50" s="211">
        <v>-135</v>
      </c>
      <c r="AG50" s="213"/>
    </row>
    <row r="51" spans="15:33" x14ac:dyDescent="0.25">
      <c r="O51" s="232"/>
      <c r="P51" s="236">
        <f t="shared" si="12"/>
        <v>-33.48063184577093</v>
      </c>
      <c r="Q51" s="236">
        <f t="shared" si="13"/>
        <v>-4.6676864047661244</v>
      </c>
      <c r="R51" s="226">
        <f t="shared" si="3"/>
        <v>-33.799999999999997</v>
      </c>
      <c r="S51" s="227">
        <f t="shared" si="4"/>
        <v>0.54772727272727273</v>
      </c>
      <c r="T51" s="3"/>
      <c r="U51" s="3"/>
      <c r="V51" s="3"/>
      <c r="W51" s="3"/>
      <c r="X51" s="208">
        <f>$AG$45*COS(RADIANS(AF51))+$R$25+$AG$45</f>
        <v>-33.799999999999997</v>
      </c>
      <c r="Y51" s="221"/>
      <c r="Z51" s="221"/>
      <c r="AA51" s="208">
        <f>$S$25+($AG$45*SIN(RADIANS($AF51)))</f>
        <v>0.54772727272727262</v>
      </c>
      <c r="AB51" s="210">
        <f t="shared" si="14"/>
        <v>0.92839391919944658</v>
      </c>
      <c r="AC51" s="210">
        <f t="shared" si="15"/>
        <v>9.7934952249165121</v>
      </c>
      <c r="AD51" s="210">
        <f t="shared" si="16"/>
        <v>-7.9367073865176181</v>
      </c>
      <c r="AE51" s="210">
        <f t="shared" si="17"/>
        <v>33.804437654918758</v>
      </c>
      <c r="AF51" s="211">
        <v>-90</v>
      </c>
      <c r="AG51" s="213"/>
    </row>
    <row r="52" spans="15:33" x14ac:dyDescent="0.25">
      <c r="O52" s="232"/>
      <c r="P52" s="236">
        <f t="shared" si="12"/>
        <v>-33.02316626229748</v>
      </c>
      <c r="Q52" s="236">
        <f t="shared" si="13"/>
        <v>-4.3888305380993362</v>
      </c>
      <c r="R52" s="226">
        <f t="shared" si="3"/>
        <v>-33.305025253169404</v>
      </c>
      <c r="S52" s="227">
        <f t="shared" si="4"/>
        <v>0.75275252589668928</v>
      </c>
      <c r="T52" s="3"/>
      <c r="U52" s="3"/>
      <c r="V52" s="3"/>
      <c r="W52" s="3"/>
      <c r="X52" s="208">
        <f>$AG$45*COS(RADIANS(AF52))+$R$25+$AG$45</f>
        <v>-33.305025253169411</v>
      </c>
      <c r="Y52" s="221"/>
      <c r="Z52" s="221"/>
      <c r="AA52" s="208">
        <f>$S$25+($AG$45*SIN(RADIANS($AF52)))</f>
        <v>0.7527525258966894</v>
      </c>
      <c r="AB52" s="210">
        <f t="shared" si="14"/>
        <v>1.2947655969430079</v>
      </c>
      <c r="AC52" s="210">
        <f t="shared" si="15"/>
        <v>10.159866902660074</v>
      </c>
      <c r="AD52" s="210">
        <f t="shared" si="16"/>
        <v>-7.5703357087740573</v>
      </c>
      <c r="AE52" s="210">
        <f t="shared" si="17"/>
        <v>33.313530936835498</v>
      </c>
      <c r="AF52" s="211">
        <v>-45</v>
      </c>
      <c r="AG52" s="213"/>
    </row>
    <row r="53" spans="15:33" x14ac:dyDescent="0.25">
      <c r="O53" s="232"/>
      <c r="P53" s="236">
        <f t="shared" si="12"/>
        <v>-32.89687012035769</v>
      </c>
      <c r="Q53" s="236">
        <f t="shared" si="13"/>
        <v>-3.8681726475720675</v>
      </c>
      <c r="R53" s="228">
        <f t="shared" si="3"/>
        <v>-33.099999999999994</v>
      </c>
      <c r="S53" s="229">
        <f t="shared" si="4"/>
        <v>1.247727272727273</v>
      </c>
      <c r="T53" s="214"/>
      <c r="U53" s="214"/>
      <c r="V53" s="214"/>
      <c r="W53" s="214"/>
      <c r="X53" s="215">
        <f>$AG$45*COS(RADIANS(AF53))+$R$25+$AG$45</f>
        <v>-33.099999999999994</v>
      </c>
      <c r="Y53" s="222"/>
      <c r="Z53" s="222"/>
      <c r="AA53" s="215">
        <f>$S$25+($AG$45*SIN(RADIANS($AF53)))</f>
        <v>1.2477272727272726</v>
      </c>
      <c r="AB53" s="217">
        <f t="shared" si="14"/>
        <v>2.1587816976159457</v>
      </c>
      <c r="AC53" s="217">
        <f t="shared" si="15"/>
        <v>11.023883003333012</v>
      </c>
      <c r="AD53" s="217">
        <f t="shared" si="16"/>
        <v>-6.7063196081011194</v>
      </c>
      <c r="AE53" s="217">
        <f t="shared" si="17"/>
        <v>33.123508620722944</v>
      </c>
      <c r="AF53" s="218">
        <v>0</v>
      </c>
      <c r="AG53" s="219"/>
    </row>
  </sheetData>
  <sheetProtection password="CCE2" sheet="1" objects="1" scenarios="1"/>
  <mergeCells count="2">
    <mergeCell ref="I23:M23"/>
    <mergeCell ref="J24:M24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BC38"/>
  <sheetViews>
    <sheetView showGridLines="0" zoomScale="145" zoomScaleNormal="145" workbookViewId="0">
      <pane xSplit="16" ySplit="19" topLeftCell="Q20" activePane="bottomRight" state="frozen"/>
      <selection activeCell="C35" sqref="C35"/>
      <selection pane="topRight" activeCell="C35" sqref="C35"/>
      <selection pane="bottomLeft" activeCell="C35" sqref="C35"/>
      <selection pane="bottomRight" activeCell="H13" sqref="H13"/>
    </sheetView>
  </sheetViews>
  <sheetFormatPr defaultRowHeight="15" x14ac:dyDescent="0.25"/>
  <cols>
    <col min="1" max="1" width="9.28515625" customWidth="1"/>
    <col min="8" max="11" width="9.42578125" customWidth="1"/>
    <col min="12" max="12" width="8.28515625" customWidth="1"/>
    <col min="13" max="13" width="5.85546875" style="8" bestFit="1" customWidth="1"/>
    <col min="14" max="14" width="7.85546875" style="8" customWidth="1"/>
    <col min="15" max="15" width="10.5703125" style="8" customWidth="1"/>
    <col min="16" max="16" width="4.28515625" customWidth="1"/>
    <col min="17" max="17" width="4.5703125" customWidth="1"/>
    <col min="18" max="32" width="9.140625" customWidth="1"/>
    <col min="33" max="33" width="7.140625" customWidth="1"/>
    <col min="34" max="36" width="6.7109375" customWidth="1"/>
    <col min="37" max="38" width="6.28515625" customWidth="1"/>
    <col min="39" max="39" width="7" customWidth="1"/>
    <col min="40" max="41" width="9.140625" customWidth="1"/>
    <col min="42" max="42" width="7.7109375" customWidth="1"/>
    <col min="43" max="43" width="2.140625" bestFit="1" customWidth="1"/>
    <col min="44" max="44" width="9.140625" customWidth="1"/>
    <col min="45" max="47" width="3.5703125" style="10" bestFit="1" customWidth="1"/>
    <col min="48" max="48" width="5.7109375" style="10" bestFit="1" customWidth="1"/>
    <col min="49" max="49" width="3.5703125" style="10" customWidth="1"/>
    <col min="50" max="50" width="5.28515625" style="10" bestFit="1" customWidth="1"/>
    <col min="51" max="51" width="3.85546875" style="10" bestFit="1" customWidth="1"/>
    <col min="52" max="52" width="3.5703125" style="11" bestFit="1" customWidth="1"/>
    <col min="53" max="53" width="5.140625" bestFit="1" customWidth="1"/>
    <col min="54" max="54" width="3.7109375" bestFit="1" customWidth="1"/>
  </cols>
  <sheetData>
    <row r="1" spans="1:55" ht="18.7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105" t="s">
        <v>49</v>
      </c>
      <c r="AH1" s="105" t="s">
        <v>50</v>
      </c>
      <c r="AI1" s="57"/>
      <c r="AJ1" s="57"/>
      <c r="AK1" s="57"/>
      <c r="AL1" s="57"/>
      <c r="AM1" s="97">
        <f>AN1+1</f>
        <v>4</v>
      </c>
      <c r="AN1" s="97">
        <f>IF(IF(VLOOKUP(MIN(AK3:AK9),AK3:AL9,2,0)&lt;0,VLOOKUP(MIN(AK3:AK9),AK3:AM9,3,0),VLOOKUP(MIN(AK3:AK9),AK3:AM9,3,0)-1)=0,1,IF(VLOOKUP(MIN(AK3:AK9),AK3:AL9,2,0)&lt;0,VLOOKUP(MIN(AK3:AK9),AK3:AM9,3,0),VLOOKUP(MIN(AK3:AK9),AK3:AM9,3,0)-1))</f>
        <v>3</v>
      </c>
      <c r="AO1" s="57"/>
      <c r="AP1" s="57"/>
      <c r="AQ1" s="57"/>
      <c r="AR1" s="3"/>
      <c r="AS1" s="60"/>
      <c r="AT1" s="60"/>
      <c r="AU1" s="60"/>
      <c r="AV1" s="60">
        <f>(AV2-AW2)/(AU2-AW2)</f>
        <v>0.16000000000000014</v>
      </c>
      <c r="AW1" s="60"/>
      <c r="AX1" s="60"/>
      <c r="AY1" s="60"/>
      <c r="AZ1" s="61"/>
      <c r="BA1" s="62"/>
      <c r="BB1" s="62"/>
      <c r="BC1" s="62"/>
    </row>
    <row r="2" spans="1:55" ht="21.7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99" t="s">
        <v>46</v>
      </c>
      <c r="N2" s="199"/>
      <c r="O2" s="199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108">
        <v>0</v>
      </c>
      <c r="AH2" s="109">
        <f>O16</f>
        <v>141.78728612803459</v>
      </c>
      <c r="AI2" s="58"/>
      <c r="AJ2" s="58"/>
      <c r="AK2" s="57"/>
      <c r="AL2" s="57"/>
      <c r="AM2" s="97">
        <f>AN2+1</f>
        <v>2</v>
      </c>
      <c r="AN2" s="96">
        <f>IF(IF(VLOOKUP(MIN(AI3:AI9),AI3:AJ9,2,0)&lt;0,VLOOKUP(MIN(AI3:AI9),AI3:AM9,5,0),VLOOKUP(MIN(AI3:AI9),AI3:AM9,5,0)-1)=0,1,IF(VLOOKUP(MIN(AI3:AI9),AI3:AJ9,2,0)&lt;0,VLOOKUP(MIN(AI3:AI9),AI3:AM9,5,0),VLOOKUP(MIN(AI3:AI9),AI3:AM9,5,0)-1))</f>
        <v>1</v>
      </c>
      <c r="AO2" s="57"/>
      <c r="AP2" s="57"/>
      <c r="AQ2" s="57"/>
      <c r="AR2" s="53"/>
      <c r="AS2" s="63"/>
      <c r="AT2" s="63">
        <v>2.5</v>
      </c>
      <c r="AU2" s="63">
        <v>2</v>
      </c>
      <c r="AV2" s="64">
        <v>1.79</v>
      </c>
      <c r="AW2" s="63">
        <v>1.75</v>
      </c>
      <c r="AX2" s="65">
        <v>1.5</v>
      </c>
      <c r="AY2" s="66">
        <v>1.25</v>
      </c>
      <c r="AZ2" s="65">
        <v>1</v>
      </c>
      <c r="BA2" s="63">
        <v>0.75</v>
      </c>
      <c r="BB2" s="57" t="s">
        <v>29</v>
      </c>
      <c r="BC2" s="62"/>
    </row>
    <row r="3" spans="1:5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81"/>
      <c r="N3" s="75" t="s">
        <v>14</v>
      </c>
      <c r="O3" s="71" t="s">
        <v>15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108">
        <f>N16</f>
        <v>50</v>
      </c>
      <c r="AH3" s="109">
        <f>O16</f>
        <v>141.78728612803459</v>
      </c>
      <c r="AI3" s="96">
        <f t="shared" ref="AI3:AI9" si="0">ABS($M$17-AP3)</f>
        <v>0.5</v>
      </c>
      <c r="AJ3" s="96">
        <f>$M$17-AP3</f>
        <v>-0.5</v>
      </c>
      <c r="AK3" s="97">
        <f>ABS($M$16-AP3)</f>
        <v>1</v>
      </c>
      <c r="AL3" s="97">
        <f>$M$16-AP3</f>
        <v>-1</v>
      </c>
      <c r="AM3" s="57">
        <v>1</v>
      </c>
      <c r="AN3" s="57">
        <v>15.234</v>
      </c>
      <c r="AO3" s="57">
        <v>0.65910000000000002</v>
      </c>
      <c r="AP3" s="57">
        <v>2.5</v>
      </c>
      <c r="AQ3" s="57"/>
      <c r="AR3" s="53"/>
      <c r="AS3" s="63" t="s">
        <v>10</v>
      </c>
      <c r="AT3" s="63" t="s">
        <v>0</v>
      </c>
      <c r="AU3" s="63" t="s">
        <v>0</v>
      </c>
      <c r="AV3" s="63" t="s">
        <v>0</v>
      </c>
      <c r="AW3" s="63" t="s">
        <v>0</v>
      </c>
      <c r="AX3" s="63" t="s">
        <v>0</v>
      </c>
      <c r="AY3" s="63" t="s">
        <v>0</v>
      </c>
      <c r="AZ3" s="63" t="s">
        <v>0</v>
      </c>
      <c r="BA3" s="63" t="s">
        <v>0</v>
      </c>
      <c r="BB3" s="63" t="s">
        <v>28</v>
      </c>
      <c r="BC3" s="62"/>
    </row>
    <row r="4" spans="1:5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2" t="s">
        <v>11</v>
      </c>
      <c r="N4" s="76" t="s">
        <v>13</v>
      </c>
      <c r="O4" s="72" t="s">
        <v>12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108">
        <f>N16</f>
        <v>50</v>
      </c>
      <c r="AH4" s="109">
        <v>0</v>
      </c>
      <c r="AI4" s="96">
        <f t="shared" si="0"/>
        <v>0</v>
      </c>
      <c r="AJ4" s="96">
        <f t="shared" ref="AJ4:AJ9" si="1">$M$17-AP4</f>
        <v>0</v>
      </c>
      <c r="AK4" s="97">
        <f t="shared" ref="AK4:AK9" si="2">ABS($M$16-AP4)</f>
        <v>0.5</v>
      </c>
      <c r="AL4" s="97">
        <f t="shared" ref="AL4:AL9" si="3">$M$16-AP4</f>
        <v>-0.5</v>
      </c>
      <c r="AM4" s="57">
        <v>2</v>
      </c>
      <c r="AN4" s="57">
        <v>14.212</v>
      </c>
      <c r="AO4" s="57">
        <v>0.63500000000000001</v>
      </c>
      <c r="AP4" s="57">
        <v>2</v>
      </c>
      <c r="AQ4" s="57"/>
      <c r="AR4" s="53"/>
      <c r="AS4" s="63">
        <v>5</v>
      </c>
      <c r="AT4" s="63">
        <v>45</v>
      </c>
      <c r="AU4" s="63">
        <v>40</v>
      </c>
      <c r="AV4" s="64">
        <f t="shared" ref="AV4:AV9" si="4">AW4+(AU4-AW4)*$AV$1</f>
        <v>36.64</v>
      </c>
      <c r="AW4" s="63">
        <v>36</v>
      </c>
      <c r="AX4" s="63">
        <v>32</v>
      </c>
      <c r="AY4" s="63">
        <v>28</v>
      </c>
      <c r="AZ4" s="63">
        <v>25</v>
      </c>
      <c r="BA4" s="63">
        <v>21</v>
      </c>
      <c r="BB4" s="57"/>
      <c r="BC4" s="62"/>
    </row>
    <row r="5" spans="1:5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82">
        <v>2.5</v>
      </c>
      <c r="N5" s="77">
        <v>20</v>
      </c>
      <c r="O5" s="127">
        <f t="shared" ref="O5:O11" si="5">AN3*POWER(N5,AO3)</f>
        <v>109.72935374128795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105"/>
      <c r="AH5" s="105"/>
      <c r="AI5" s="96">
        <f t="shared" si="0"/>
        <v>0.25</v>
      </c>
      <c r="AJ5" s="96">
        <f t="shared" si="1"/>
        <v>0.25</v>
      </c>
      <c r="AK5" s="97">
        <f t="shared" si="2"/>
        <v>0.25</v>
      </c>
      <c r="AL5" s="97">
        <f t="shared" si="3"/>
        <v>-0.25</v>
      </c>
      <c r="AM5" s="57">
        <v>3</v>
      </c>
      <c r="AN5" s="57">
        <v>12.988</v>
      </c>
      <c r="AO5" s="57">
        <v>0.63470000000000004</v>
      </c>
      <c r="AP5" s="57">
        <v>1.75</v>
      </c>
      <c r="AQ5" s="57"/>
      <c r="AR5" s="53"/>
      <c r="AS5" s="63">
        <v>10</v>
      </c>
      <c r="AT5" s="63">
        <v>70</v>
      </c>
      <c r="AU5" s="63">
        <v>61</v>
      </c>
      <c r="AV5" s="64">
        <f t="shared" si="4"/>
        <v>56.8</v>
      </c>
      <c r="AW5" s="63">
        <v>56</v>
      </c>
      <c r="AX5" s="67">
        <v>50</v>
      </c>
      <c r="AY5" s="63">
        <v>44</v>
      </c>
      <c r="AZ5" s="63">
        <v>39</v>
      </c>
      <c r="BA5" s="63">
        <v>31</v>
      </c>
      <c r="BB5" s="57"/>
      <c r="BC5" s="62"/>
    </row>
    <row r="6" spans="1:5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82">
        <v>2</v>
      </c>
      <c r="N6" s="77">
        <v>17.5</v>
      </c>
      <c r="O6" s="127">
        <f t="shared" si="5"/>
        <v>87.495226496436999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106">
        <v>0</v>
      </c>
      <c r="AH6" s="107">
        <f>O17</f>
        <v>123.20467730469207</v>
      </c>
      <c r="AI6" s="96">
        <f t="shared" si="0"/>
        <v>0.5</v>
      </c>
      <c r="AJ6" s="96">
        <f t="shared" si="1"/>
        <v>0.5</v>
      </c>
      <c r="AK6" s="97">
        <f t="shared" si="2"/>
        <v>0</v>
      </c>
      <c r="AL6" s="97">
        <f t="shared" si="3"/>
        <v>0</v>
      </c>
      <c r="AM6" s="59">
        <v>4</v>
      </c>
      <c r="AN6" s="59">
        <v>11.438000000000001</v>
      </c>
      <c r="AO6" s="59">
        <v>0.64349999999999996</v>
      </c>
      <c r="AP6" s="59">
        <v>1.5</v>
      </c>
      <c r="AQ6" s="57"/>
      <c r="AR6" s="54"/>
      <c r="AS6" s="63">
        <v>20</v>
      </c>
      <c r="AT6" s="63">
        <v>102</v>
      </c>
      <c r="AU6" s="63">
        <v>92</v>
      </c>
      <c r="AV6" s="64">
        <v>87</v>
      </c>
      <c r="AW6" s="63">
        <v>86</v>
      </c>
      <c r="AX6" s="63">
        <v>79</v>
      </c>
      <c r="AY6" s="63">
        <v>66</v>
      </c>
      <c r="AZ6" s="63">
        <v>57</v>
      </c>
      <c r="BA6" s="63">
        <v>47</v>
      </c>
      <c r="BB6" s="57"/>
      <c r="BC6" s="62"/>
    </row>
    <row r="7" spans="1:5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82">
        <v>1.75</v>
      </c>
      <c r="N7" s="77">
        <v>64</v>
      </c>
      <c r="O7" s="127">
        <f t="shared" si="5"/>
        <v>181.93854173037508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106">
        <f>N17</f>
        <v>30</v>
      </c>
      <c r="AH7" s="107">
        <f>O17</f>
        <v>123.20467730469207</v>
      </c>
      <c r="AI7" s="96">
        <f t="shared" si="0"/>
        <v>0.75</v>
      </c>
      <c r="AJ7" s="96">
        <f t="shared" si="1"/>
        <v>0.75</v>
      </c>
      <c r="AK7" s="97">
        <f t="shared" si="2"/>
        <v>0.25</v>
      </c>
      <c r="AL7" s="97">
        <f t="shared" si="3"/>
        <v>0.25</v>
      </c>
      <c r="AM7" s="57">
        <v>5</v>
      </c>
      <c r="AN7" s="59">
        <v>9.7904</v>
      </c>
      <c r="AO7" s="59">
        <v>0.65029999999999999</v>
      </c>
      <c r="AP7" s="59">
        <v>1.25</v>
      </c>
      <c r="AQ7" s="57"/>
      <c r="AR7" s="53"/>
      <c r="AS7" s="63">
        <v>30</v>
      </c>
      <c r="AT7" s="63">
        <v>143</v>
      </c>
      <c r="AU7" s="63">
        <v>125</v>
      </c>
      <c r="AV7" s="64">
        <f t="shared" si="4"/>
        <v>114.92</v>
      </c>
      <c r="AW7" s="63">
        <v>113</v>
      </c>
      <c r="AX7" s="63">
        <v>102</v>
      </c>
      <c r="AY7" s="63">
        <v>90</v>
      </c>
      <c r="AZ7" s="63">
        <v>78</v>
      </c>
      <c r="BA7" s="63">
        <v>65</v>
      </c>
      <c r="BB7" s="57"/>
      <c r="BC7" s="62"/>
    </row>
    <row r="8" spans="1:5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82">
        <v>1.5</v>
      </c>
      <c r="N8" s="77">
        <v>25</v>
      </c>
      <c r="O8" s="127">
        <f t="shared" si="5"/>
        <v>90.766269816080779</v>
      </c>
      <c r="AG8" s="106">
        <f>N17</f>
        <v>30</v>
      </c>
      <c r="AH8" s="106">
        <v>0</v>
      </c>
      <c r="AI8" s="96">
        <f t="shared" si="0"/>
        <v>1</v>
      </c>
      <c r="AJ8" s="96">
        <f t="shared" si="1"/>
        <v>1</v>
      </c>
      <c r="AK8" s="97">
        <f t="shared" si="2"/>
        <v>0.5</v>
      </c>
      <c r="AL8" s="97">
        <f t="shared" si="3"/>
        <v>0.5</v>
      </c>
      <c r="AM8" s="57">
        <v>6</v>
      </c>
      <c r="AN8" s="59">
        <v>8.8280999999999992</v>
      </c>
      <c r="AO8" s="59">
        <v>0.63500000000000001</v>
      </c>
      <c r="AP8" s="59">
        <v>1</v>
      </c>
      <c r="AQ8" s="57"/>
      <c r="AR8" s="53"/>
      <c r="AS8" s="63">
        <v>40</v>
      </c>
      <c r="AT8" s="63">
        <v>174</v>
      </c>
      <c r="AU8" s="63">
        <v>150</v>
      </c>
      <c r="AV8" s="64">
        <f t="shared" si="4"/>
        <v>138.24</v>
      </c>
      <c r="AW8" s="63">
        <v>136</v>
      </c>
      <c r="AX8" s="63">
        <v>125</v>
      </c>
      <c r="AY8" s="63">
        <v>109</v>
      </c>
      <c r="AZ8" s="63">
        <v>95</v>
      </c>
      <c r="BA8" s="63">
        <v>79</v>
      </c>
      <c r="BB8" s="57"/>
      <c r="BC8" s="62"/>
    </row>
    <row r="9" spans="1:5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82">
        <v>1.25</v>
      </c>
      <c r="N9" s="77">
        <v>25</v>
      </c>
      <c r="O9" s="127">
        <f t="shared" si="5"/>
        <v>79.411028980070242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57"/>
      <c r="AH9" s="57"/>
      <c r="AI9" s="96">
        <f t="shared" si="0"/>
        <v>1.25</v>
      </c>
      <c r="AJ9" s="96">
        <f t="shared" si="1"/>
        <v>1.25</v>
      </c>
      <c r="AK9" s="97">
        <f t="shared" si="2"/>
        <v>0.75</v>
      </c>
      <c r="AL9" s="97">
        <f t="shared" si="3"/>
        <v>0.75</v>
      </c>
      <c r="AM9" s="57">
        <v>7</v>
      </c>
      <c r="AN9" s="59">
        <v>7.2851999999999997</v>
      </c>
      <c r="AO9" s="59">
        <v>0.63970000000000005</v>
      </c>
      <c r="AP9" s="59">
        <v>0.75</v>
      </c>
      <c r="AQ9" s="57"/>
      <c r="AR9" s="53"/>
      <c r="AS9" s="63">
        <v>50</v>
      </c>
      <c r="AT9" s="63">
        <v>210</v>
      </c>
      <c r="AU9" s="63">
        <v>174</v>
      </c>
      <c r="AV9" s="64">
        <f t="shared" si="4"/>
        <v>160.56</v>
      </c>
      <c r="AW9" s="63">
        <v>158</v>
      </c>
      <c r="AX9" s="63">
        <v>144</v>
      </c>
      <c r="AY9" s="63">
        <v>128</v>
      </c>
      <c r="AZ9" s="63">
        <v>111</v>
      </c>
      <c r="BA9" s="63">
        <v>91</v>
      </c>
      <c r="BB9" s="57"/>
      <c r="BC9" s="62"/>
    </row>
    <row r="10" spans="1:5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82">
        <v>1</v>
      </c>
      <c r="N10" s="77">
        <v>25</v>
      </c>
      <c r="O10" s="127">
        <f t="shared" si="5"/>
        <v>68.164640640354591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53"/>
      <c r="AH10" s="53"/>
      <c r="AI10" s="96"/>
      <c r="AJ10" s="96"/>
      <c r="AK10" s="97"/>
      <c r="AL10" s="97"/>
      <c r="AM10" s="57"/>
      <c r="AN10" s="57"/>
      <c r="AO10" s="57"/>
      <c r="AP10" s="57"/>
      <c r="AQ10" s="53"/>
      <c r="AR10" s="53"/>
      <c r="AS10" s="63">
        <v>110</v>
      </c>
      <c r="AT10" s="63">
        <v>336</v>
      </c>
      <c r="AU10" s="63">
        <v>279</v>
      </c>
      <c r="AV10" s="68">
        <v>257</v>
      </c>
      <c r="AW10" s="63">
        <v>253</v>
      </c>
      <c r="AX10" s="67">
        <v>230</v>
      </c>
      <c r="AY10" s="63">
        <v>205</v>
      </c>
      <c r="AZ10" s="63">
        <v>178</v>
      </c>
      <c r="BA10" s="63">
        <v>145.69999999999999</v>
      </c>
      <c r="BB10" s="63"/>
      <c r="BC10" s="62"/>
    </row>
    <row r="11" spans="1:5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82">
        <v>0.75</v>
      </c>
      <c r="N11" s="77">
        <v>25</v>
      </c>
      <c r="O11" s="127">
        <f t="shared" si="5"/>
        <v>57.108887818346439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63"/>
      <c r="AT11" s="63"/>
      <c r="AU11" s="63"/>
      <c r="AV11" s="63"/>
      <c r="AW11" s="63"/>
      <c r="AX11" s="63"/>
      <c r="AY11" s="63"/>
      <c r="AZ11" s="67"/>
      <c r="BA11" s="57"/>
      <c r="BB11" s="57"/>
      <c r="BC11" s="62"/>
    </row>
    <row r="12" spans="1:5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12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53"/>
      <c r="AH12" s="53"/>
      <c r="AI12" s="101" t="s">
        <v>51</v>
      </c>
      <c r="AJ12" s="101"/>
      <c r="AK12" s="99"/>
      <c r="AL12" s="99"/>
      <c r="AN12" s="96" t="s">
        <v>52</v>
      </c>
      <c r="AO12" s="57"/>
      <c r="AP12" s="57"/>
      <c r="AQ12" s="53"/>
      <c r="AR12" s="53"/>
      <c r="AS12" s="63"/>
      <c r="AT12" s="63"/>
      <c r="AU12" s="63"/>
      <c r="AV12" s="63"/>
      <c r="AW12" s="63"/>
      <c r="AX12" s="63"/>
      <c r="AY12" s="63"/>
      <c r="AZ12" s="67"/>
      <c r="BA12" s="57"/>
      <c r="BB12" s="57"/>
      <c r="BC12" s="62"/>
    </row>
    <row r="13" spans="1:55" ht="22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198" t="s">
        <v>44</v>
      </c>
      <c r="N13" s="198"/>
      <c r="O13" s="198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55"/>
      <c r="AH13" s="53"/>
      <c r="AI13" s="111">
        <f>(M16-(VLOOKUP(AM1,AM3:AP9,4,0)))/((VLOOKUP(AN1,AM3:AP9,4,0))-(VLOOKUP(AM1,AM3:AP9,4,0)))</f>
        <v>0</v>
      </c>
      <c r="AJ13" s="111"/>
      <c r="AK13" s="112"/>
      <c r="AL13" s="112"/>
      <c r="AN13" s="114">
        <f>(M17-(VLOOKUP(AM2,AM3:AP9,4,0)))/((VLOOKUP(AN2,AM3:AP9,4,0))-(VLOOKUP(AM2,AM3:AP9,4,0)))</f>
        <v>0</v>
      </c>
      <c r="AO13" s="110"/>
      <c r="AP13" s="110"/>
      <c r="AQ13" s="55"/>
      <c r="AR13" s="55"/>
      <c r="AS13" s="63"/>
      <c r="AT13" s="63">
        <f>AT9/AV9</f>
        <v>1.3079222720478325</v>
      </c>
      <c r="AU13" s="63">
        <f>AU9/AV9</f>
        <v>1.0837070254110612</v>
      </c>
      <c r="AV13" s="63"/>
      <c r="AW13" s="63">
        <f>AW9/AV9</f>
        <v>0.98405580468360732</v>
      </c>
      <c r="AX13" s="63">
        <f>AX9/AV9</f>
        <v>0.89686098654708524</v>
      </c>
      <c r="AY13" s="63">
        <f>AY9/AV9</f>
        <v>0.79720976581963132</v>
      </c>
      <c r="AZ13" s="63">
        <f>AZ9/AV9</f>
        <v>0.69133034379671154</v>
      </c>
      <c r="BA13" s="63">
        <f>BA9/AV9</f>
        <v>0.56676631788739407</v>
      </c>
      <c r="BB13" s="57"/>
      <c r="BC13" s="62"/>
    </row>
    <row r="14" spans="1:55" ht="12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200" t="s">
        <v>14</v>
      </c>
      <c r="N14" s="200"/>
      <c r="O14" s="71" t="s">
        <v>15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53"/>
      <c r="AH14" s="53"/>
      <c r="AI14" s="103" t="s">
        <v>53</v>
      </c>
      <c r="AJ14" s="103"/>
      <c r="AK14" s="103" t="s">
        <v>54</v>
      </c>
      <c r="AL14" s="103"/>
      <c r="AM14" s="57"/>
      <c r="AN14" s="102" t="s">
        <v>53</v>
      </c>
      <c r="AO14" s="102" t="s">
        <v>54</v>
      </c>
      <c r="AP14" s="57"/>
      <c r="AQ14" s="53"/>
      <c r="AR14" s="53"/>
      <c r="AS14" s="63"/>
      <c r="AT14" s="63">
        <f>AT13*AV10</f>
        <v>336.13602391629297</v>
      </c>
      <c r="AU14" s="63">
        <f>AU13*AV10</f>
        <v>278.51270553064273</v>
      </c>
      <c r="AV14" s="63"/>
      <c r="AW14" s="63">
        <f>AW13*AV10</f>
        <v>252.90234180368708</v>
      </c>
      <c r="AX14" s="63">
        <f>AX13*AV10</f>
        <v>230.49327354260092</v>
      </c>
      <c r="AY14" s="63">
        <f>AY13*AV10</f>
        <v>204.88290981564526</v>
      </c>
      <c r="AZ14" s="63">
        <f>AZ13*AV10</f>
        <v>177.67189835575488</v>
      </c>
      <c r="BA14" s="63">
        <f>BA13*AV10</f>
        <v>145.65894369706027</v>
      </c>
      <c r="BB14" s="57"/>
      <c r="BC14" s="62"/>
    </row>
    <row r="15" spans="1:55" x14ac:dyDescent="0.25">
      <c r="C15" s="3"/>
      <c r="D15" s="3"/>
      <c r="E15" s="3"/>
      <c r="F15" s="3"/>
      <c r="G15" s="3"/>
      <c r="H15" s="3"/>
      <c r="I15" s="3"/>
      <c r="J15" s="3"/>
      <c r="K15" s="3"/>
      <c r="L15" s="3"/>
      <c r="M15" s="78" t="s">
        <v>11</v>
      </c>
      <c r="N15" s="76" t="s">
        <v>13</v>
      </c>
      <c r="O15" s="72" t="s">
        <v>12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113">
        <f>(VLOOKUP(AN1,AM3:AO10,2,0))*POWER(N16,(VLOOKUP(AN1,AM3:AO10,3,0)))</f>
        <v>155.55305385636112</v>
      </c>
      <c r="AJ15" s="113"/>
      <c r="AK15" s="113">
        <f>(VLOOKUP(AM1,AM3:AO10,2,0))*POWER(N16,(VLOOKUP(AM1,AM3:AO10,3,0)))</f>
        <v>141.78728612803459</v>
      </c>
      <c r="AL15" s="113"/>
      <c r="AM15" s="57"/>
      <c r="AN15" s="115">
        <f>(VLOOKUP(AN2,AM3:AO10,2,0))*POWER(N17,(VLOOKUP(AN2,AM3:AO10,3,0)))</f>
        <v>143.34566715042757</v>
      </c>
      <c r="AO15" s="115">
        <f>(VLOOKUP(AM2,AM3:AO10,2,0))*POWER(N17,(VLOOKUP(AM2,AM3:AO10,3,0)))</f>
        <v>123.20467730469207</v>
      </c>
      <c r="AP15" s="57"/>
      <c r="AQ15" s="3"/>
      <c r="AR15" s="3"/>
      <c r="AS15" s="60"/>
      <c r="AT15" s="60"/>
      <c r="AU15" s="60"/>
      <c r="AV15" s="60"/>
      <c r="AW15" s="60"/>
      <c r="AX15" s="60"/>
      <c r="AY15" s="60"/>
      <c r="AZ15" s="61"/>
      <c r="BA15" s="62"/>
      <c r="BB15" s="62"/>
      <c r="BC15" s="62"/>
    </row>
    <row r="16" spans="1:55" x14ac:dyDescent="0.25">
      <c r="L16" s="119"/>
      <c r="M16" s="160">
        <v>1.5</v>
      </c>
      <c r="N16" s="79">
        <v>50</v>
      </c>
      <c r="O16" s="125">
        <f>AK15+(AI15-AK15)*AI13</f>
        <v>141.78728612803459</v>
      </c>
      <c r="AH16" s="3"/>
      <c r="AI16" s="57"/>
      <c r="AJ16" s="57"/>
      <c r="AK16" s="62"/>
      <c r="AL16" s="62"/>
      <c r="AM16" s="62"/>
      <c r="AN16" s="62"/>
      <c r="AO16" s="62"/>
      <c r="AP16" s="62"/>
    </row>
    <row r="17" spans="12:42" x14ac:dyDescent="0.25">
      <c r="L17" s="119"/>
      <c r="M17" s="161">
        <v>2</v>
      </c>
      <c r="N17" s="80">
        <v>30</v>
      </c>
      <c r="O17" s="126">
        <f>AO15+(AN15-AO15)*AN13</f>
        <v>123.20467730469207</v>
      </c>
      <c r="AH17" s="3"/>
      <c r="AI17" s="57"/>
      <c r="AJ17" s="57"/>
      <c r="AK17" s="62"/>
      <c r="AL17" s="62"/>
      <c r="AM17" s="62"/>
      <c r="AN17" s="62"/>
      <c r="AO17" s="62"/>
      <c r="AP17" s="62"/>
    </row>
    <row r="18" spans="12:42" x14ac:dyDescent="0.25">
      <c r="AH18" s="3"/>
      <c r="AI18" s="57"/>
      <c r="AJ18" s="57"/>
      <c r="AK18" s="62"/>
      <c r="AL18" s="62"/>
      <c r="AM18" s="62"/>
      <c r="AN18" s="62"/>
      <c r="AO18" s="62"/>
      <c r="AP18" s="62"/>
    </row>
    <row r="19" spans="12:42" x14ac:dyDescent="0.25">
      <c r="AH19" s="3"/>
      <c r="AI19" s="3"/>
      <c r="AJ19" s="3"/>
    </row>
    <row r="20" spans="12:42" x14ac:dyDescent="0.25">
      <c r="AH20" s="3"/>
      <c r="AI20" s="3"/>
      <c r="AJ20" s="3"/>
    </row>
    <row r="21" spans="12:42" x14ac:dyDescent="0.25">
      <c r="AH21" s="3"/>
      <c r="AI21" s="3"/>
      <c r="AJ21" s="3"/>
    </row>
    <row r="22" spans="12:42" x14ac:dyDescent="0.25">
      <c r="AH22" s="3"/>
      <c r="AI22" s="3"/>
      <c r="AJ22" s="3"/>
    </row>
    <row r="23" spans="12:42" x14ac:dyDescent="0.25">
      <c r="AH23" s="3"/>
      <c r="AI23" s="3"/>
      <c r="AJ23" s="3"/>
    </row>
    <row r="24" spans="12:42" x14ac:dyDescent="0.25">
      <c r="AH24" s="3"/>
      <c r="AI24" s="3"/>
      <c r="AJ24" s="3"/>
    </row>
    <row r="25" spans="12:42" x14ac:dyDescent="0.25">
      <c r="AH25" s="3"/>
      <c r="AI25" s="3"/>
      <c r="AJ25" s="3"/>
    </row>
    <row r="26" spans="12:42" x14ac:dyDescent="0.25">
      <c r="AH26" s="3"/>
      <c r="AI26" s="3"/>
      <c r="AJ26" s="3"/>
    </row>
    <row r="27" spans="12:42" x14ac:dyDescent="0.25">
      <c r="AH27" s="3"/>
      <c r="AI27" s="3"/>
      <c r="AJ27" s="3"/>
    </row>
    <row r="28" spans="12:42" x14ac:dyDescent="0.25">
      <c r="AH28" s="3"/>
      <c r="AI28" s="3"/>
      <c r="AJ28" s="3"/>
    </row>
    <row r="29" spans="12:42" x14ac:dyDescent="0.25">
      <c r="AH29" s="3"/>
      <c r="AI29" s="3"/>
      <c r="AJ29" s="3"/>
    </row>
    <row r="30" spans="12:42" x14ac:dyDescent="0.25">
      <c r="AH30" s="3"/>
      <c r="AI30" s="3"/>
      <c r="AJ30" s="3"/>
    </row>
    <row r="31" spans="12:42" x14ac:dyDescent="0.25">
      <c r="AH31" s="3"/>
      <c r="AI31" s="3"/>
      <c r="AJ31" s="3"/>
    </row>
    <row r="32" spans="12:42" x14ac:dyDescent="0.25">
      <c r="AH32" s="3"/>
      <c r="AI32" s="3"/>
      <c r="AJ32" s="3"/>
    </row>
    <row r="33" spans="34:36" x14ac:dyDescent="0.25">
      <c r="AH33" s="3"/>
      <c r="AI33" s="3"/>
      <c r="AJ33" s="3"/>
    </row>
    <row r="34" spans="34:36" x14ac:dyDescent="0.25">
      <c r="AH34" s="3"/>
      <c r="AI34" s="3"/>
      <c r="AJ34" s="3"/>
    </row>
    <row r="35" spans="34:36" x14ac:dyDescent="0.25">
      <c r="AH35" s="3"/>
      <c r="AI35" s="3"/>
      <c r="AJ35" s="3"/>
    </row>
    <row r="36" spans="34:36" x14ac:dyDescent="0.25">
      <c r="AH36" s="3"/>
      <c r="AI36" s="3"/>
      <c r="AJ36" s="3"/>
    </row>
    <row r="37" spans="34:36" x14ac:dyDescent="0.25">
      <c r="AH37" s="3"/>
      <c r="AI37" s="3"/>
      <c r="AJ37" s="3"/>
    </row>
    <row r="38" spans="34:36" x14ac:dyDescent="0.25">
      <c r="AH38" s="3"/>
      <c r="AI38" s="3"/>
      <c r="AJ38" s="3"/>
    </row>
  </sheetData>
  <sheetProtection password="CCE2" sheet="1" objects="1" scenarios="1"/>
  <customSheetViews>
    <customSheetView guid="{D742600D-D7D6-4AD5-ABD5-876A4BE74A8D}" scale="115" showGridLines="0">
      <pane xSplit="16" ySplit="19" topLeftCell="W20" activePane="bottomRight" state="frozen"/>
      <selection pane="bottomRight" activeCell="E22" sqref="E22"/>
      <pageMargins left="0.7" right="0.7" top="0.75" bottom="0.75" header="0.3" footer="0.3"/>
      <pageSetup paperSize="9" orientation="portrait" r:id="rId1"/>
    </customSheetView>
  </customSheetViews>
  <mergeCells count="3">
    <mergeCell ref="M13:O13"/>
    <mergeCell ref="M2:O2"/>
    <mergeCell ref="M14:N14"/>
  </mergeCells>
  <dataValidations count="10">
    <dataValidation type="decimal" allowBlank="1" showInputMessage="1" showErrorMessage="1" errorTitle="ВНЕ ДИАПАЗОНА" error="введи значение от 0,75 до 2,5" promptTitle="введи значение" prompt="от 0,75 до 2,5" sqref="M16:M17">
      <formula1>0.75</formula1>
      <formula2>2.5</formula2>
    </dataValidation>
    <dataValidation type="decimal" operator="equal" allowBlank="1" showInputMessage="1" showErrorMessage="1" sqref="M5">
      <formula1>2.5</formula1>
    </dataValidation>
    <dataValidation type="decimal" operator="equal" allowBlank="1" showInputMessage="1" showErrorMessage="1" sqref="M6">
      <formula1>2</formula1>
    </dataValidation>
    <dataValidation type="decimal" operator="equal" allowBlank="1" showInputMessage="1" showErrorMessage="1" sqref="M7">
      <formula1>1.75</formula1>
    </dataValidation>
    <dataValidation type="decimal" operator="equal" allowBlank="1" showInputMessage="1" showErrorMessage="1" sqref="M8">
      <formula1>1.5</formula1>
    </dataValidation>
    <dataValidation type="decimal" operator="equal" allowBlank="1" showInputMessage="1" showErrorMessage="1" sqref="M9">
      <formula1>1.25</formula1>
    </dataValidation>
    <dataValidation type="decimal" operator="equal" allowBlank="1" showInputMessage="1" showErrorMessage="1" sqref="M10">
      <formula1>1</formula1>
    </dataValidation>
    <dataValidation type="decimal" operator="equal" allowBlank="1" showInputMessage="1" showErrorMessage="1" sqref="M11">
      <formula1>0.75</formula1>
    </dataValidation>
    <dataValidation type="decimal" allowBlank="1" showInputMessage="1" showErrorMessage="1" errorTitle="недопустимое значение мощности" error="введи значение от 5 до 110" promptTitle="достоверность результата:" prompt="от 5 до 50 достоверно! см рис.1_x000a__x000a_от 50 до 110  недостоверно! (интерполяция) " sqref="N5:N11">
      <formula1>5</formula1>
      <formula2>110</formula2>
    </dataValidation>
    <dataValidation type="decimal" allowBlank="1" showInputMessage="1" showErrorMessage="1" errorTitle="недопустимое значение мощности" error="введи значение от 5 до 110" promptTitle="введи значение" prompt="от 5 до 110" sqref="N16:N17">
      <formula1>5</formula1>
      <formula2>110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Диаметр-Мощ-Тяга-Обороты</vt:lpstr>
      <vt:lpstr>Мощ-Диаметр-Ширина-Шаг-Угол</vt:lpstr>
      <vt:lpstr>Сеч 0,147</vt:lpstr>
      <vt:lpstr>Сеч 0,3</vt:lpstr>
      <vt:lpstr>Сеч 0,45</vt:lpstr>
      <vt:lpstr>Сеч 0,6</vt:lpstr>
      <vt:lpstr>Сеч 0,75</vt:lpstr>
      <vt:lpstr>Сеч 0,9</vt:lpstr>
      <vt:lpstr>Сеч 1</vt:lpstr>
      <vt:lpstr>Тяга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2023-01-28T20:05:58Z</dcterms:created>
  <dcterms:modified xsi:type="dcterms:W3CDTF">2023-02-24T18:19:34Z</dcterms:modified>
</cp:coreProperties>
</file>